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Начальник ПЕВ\2019-2024 Фінансовий план підприєм\фінплан 2023\звіт 9 міс 2023\"/>
    </mc:Choice>
  </mc:AlternateContent>
  <xr:revisionPtr revIDLastSave="0" documentId="13_ncr:1_{15493484-B7E8-4768-8DCD-638CF0FFCFA7}" xr6:coauthVersionLast="47" xr6:coauthVersionMax="47" xr10:uidLastSave="{00000000-0000-0000-0000-000000000000}"/>
  <bookViews>
    <workbookView xWindow="-120" yWindow="-120" windowWidth="29040" windowHeight="15840" tabRatio="838" firstSheet="2" activeTab="4" xr2:uid="{00000000-000D-0000-FFFF-FFFF00000000}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Формування'!$3:$4</definedName>
    <definedName name="_xlnm.Print_Titles" localSheetId="2">'Розшифровка 2 до формування'!$3:$4</definedName>
    <definedName name="_xlnm.Print_Titles" localSheetId="4">'Розшифровка за джерелами'!$3:$5</definedName>
    <definedName name="_xlnm.Print_Titles" localSheetId="3">'Розшифровка кап'!$3:$4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фінпла'!$A$1:$H$98</definedName>
    <definedName name="_xlnm.Print_Area" localSheetId="1">'Розшифровка 1 до Формування'!$A$1:$H$109</definedName>
    <definedName name="_xlnm.Print_Area" localSheetId="2">'Розшифровка 2 до формування'!$A$1:$H$212</definedName>
    <definedName name="_xlnm.Print_Area" localSheetId="4">'Розшифровка за джерелами'!$A$1:$N$38</definedName>
    <definedName name="_xlnm.Print_Area" localSheetId="3">'Розшифровка кап'!$A$1:$G$76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4" l="1"/>
  <c r="I14" i="26" l="1"/>
  <c r="K139" i="26"/>
  <c r="F72" i="14" l="1"/>
  <c r="E66" i="24"/>
  <c r="H6" i="9"/>
  <c r="L18" i="9"/>
  <c r="K27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17" i="9"/>
  <c r="K17" i="9"/>
  <c r="L16" i="9"/>
  <c r="K16" i="9"/>
  <c r="L15" i="9"/>
  <c r="K15" i="9"/>
  <c r="L14" i="9"/>
  <c r="K14" i="9"/>
  <c r="L13" i="9"/>
  <c r="K13" i="9"/>
  <c r="L12" i="9"/>
  <c r="K12" i="9"/>
  <c r="L11" i="9"/>
  <c r="K11" i="9"/>
  <c r="L10" i="9"/>
  <c r="K10" i="9"/>
  <c r="L9" i="9"/>
  <c r="K9" i="9"/>
  <c r="L7" i="9"/>
  <c r="K7" i="9"/>
  <c r="H32" i="9"/>
  <c r="H27" i="9"/>
  <c r="G6" i="9"/>
  <c r="G36" i="9" s="1"/>
  <c r="J32" i="9"/>
  <c r="I32" i="9"/>
  <c r="J27" i="9"/>
  <c r="J6" i="9"/>
  <c r="I6" i="9"/>
  <c r="F6" i="22"/>
  <c r="H10" i="22"/>
  <c r="G10" i="22"/>
  <c r="F89" i="14"/>
  <c r="M11" i="26"/>
  <c r="I20" i="26"/>
  <c r="F75" i="14"/>
  <c r="D42" i="14"/>
  <c r="D40" i="14" s="1"/>
  <c r="D25" i="14"/>
  <c r="D22" i="14"/>
  <c r="D16" i="14"/>
  <c r="D43" i="14" s="1"/>
  <c r="D15" i="14"/>
  <c r="D31" i="14" s="1"/>
  <c r="D36" i="14" s="1"/>
  <c r="D39" i="14" s="1"/>
  <c r="D9" i="14"/>
  <c r="F35" i="22"/>
  <c r="E96" i="14"/>
  <c r="E95" i="14"/>
  <c r="E94" i="14"/>
  <c r="J36" i="9" l="1"/>
  <c r="I36" i="9"/>
  <c r="H36" i="9"/>
  <c r="C25" i="14"/>
  <c r="C22" i="14"/>
  <c r="C16" i="14"/>
  <c r="C15" i="14"/>
  <c r="C31" i="14" s="1"/>
  <c r="C9" i="14"/>
  <c r="D72" i="24" l="1"/>
  <c r="E72" i="24"/>
  <c r="F32" i="9"/>
  <c r="L32" i="9" s="1"/>
  <c r="E32" i="9"/>
  <c r="K32" i="9" s="1"/>
  <c r="F27" i="9"/>
  <c r="L27" i="9" s="1"/>
  <c r="F6" i="9"/>
  <c r="L6" i="9" s="1"/>
  <c r="F102" i="22"/>
  <c r="M29" i="26"/>
  <c r="F36" i="22"/>
  <c r="F187" i="26"/>
  <c r="I140" i="26"/>
  <c r="G146" i="26"/>
  <c r="H146" i="26" s="1"/>
  <c r="E29" i="22"/>
  <c r="E28" i="22"/>
  <c r="F199" i="26"/>
  <c r="F198" i="26" s="1"/>
  <c r="F50" i="22"/>
  <c r="E50" i="22"/>
  <c r="F62" i="22"/>
  <c r="F66" i="22"/>
  <c r="F59" i="22"/>
  <c r="F64" i="22"/>
  <c r="F53" i="22"/>
  <c r="F40" i="22"/>
  <c r="F28" i="22"/>
  <c r="F38" i="22"/>
  <c r="H38" i="22" s="1"/>
  <c r="F32" i="22"/>
  <c r="F34" i="22"/>
  <c r="F30" i="22"/>
  <c r="E85" i="22"/>
  <c r="F45" i="22"/>
  <c r="E45" i="22"/>
  <c r="F44" i="22"/>
  <c r="E44" i="22"/>
  <c r="F43" i="22"/>
  <c r="E43" i="22"/>
  <c r="F42" i="22"/>
  <c r="E42" i="22"/>
  <c r="F31" i="22"/>
  <c r="E93" i="22"/>
  <c r="F93" i="22"/>
  <c r="F86" i="22" s="1"/>
  <c r="E39" i="22"/>
  <c r="F58" i="22"/>
  <c r="E58" i="22"/>
  <c r="F68" i="22"/>
  <c r="E68" i="22"/>
  <c r="F75" i="22"/>
  <c r="F74" i="22"/>
  <c r="E74" i="22"/>
  <c r="E66" i="22"/>
  <c r="F65" i="22"/>
  <c r="E65" i="22"/>
  <c r="E63" i="22"/>
  <c r="E62" i="22"/>
  <c r="E64" i="22"/>
  <c r="F61" i="22"/>
  <c r="E61" i="22"/>
  <c r="F60" i="22"/>
  <c r="E60" i="22"/>
  <c r="E59" i="22"/>
  <c r="F57" i="22"/>
  <c r="E57" i="22"/>
  <c r="E56" i="22"/>
  <c r="F55" i="22"/>
  <c r="E55" i="22"/>
  <c r="F54" i="22"/>
  <c r="E54" i="22"/>
  <c r="E53" i="22"/>
  <c r="F52" i="22"/>
  <c r="E52" i="22"/>
  <c r="F51" i="22"/>
  <c r="E51" i="22"/>
  <c r="F48" i="22"/>
  <c r="E48" i="22"/>
  <c r="F47" i="22"/>
  <c r="E47" i="22"/>
  <c r="E40" i="22"/>
  <c r="E35" i="22"/>
  <c r="E36" i="22"/>
  <c r="F33" i="22"/>
  <c r="E33" i="22"/>
  <c r="E32" i="22"/>
  <c r="E27" i="22" s="1"/>
  <c r="H37" i="22"/>
  <c r="E109" i="26"/>
  <c r="L36" i="9" l="1"/>
  <c r="E46" i="22"/>
  <c r="F46" i="22"/>
  <c r="E5" i="24"/>
  <c r="M27" i="9"/>
  <c r="F27" i="22"/>
  <c r="I27" i="22" s="1"/>
  <c r="K12" i="26" l="1"/>
  <c r="K11" i="26"/>
  <c r="L11" i="26"/>
  <c r="D88" i="26"/>
  <c r="I90" i="26"/>
  <c r="I85" i="26"/>
  <c r="I75" i="26"/>
  <c r="I21" i="26"/>
  <c r="F46" i="14"/>
  <c r="M12" i="26"/>
  <c r="F88" i="26"/>
  <c r="F86" i="26" s="1"/>
  <c r="I65" i="26" l="1"/>
  <c r="I55" i="26"/>
  <c r="I10" i="26" l="1"/>
  <c r="F9" i="26"/>
  <c r="I50" i="26"/>
  <c r="I64" i="26"/>
  <c r="F192" i="26"/>
  <c r="F188" i="26"/>
  <c r="I19" i="26" l="1"/>
  <c r="I22" i="26"/>
  <c r="G150" i="26"/>
  <c r="H150" i="26" s="1"/>
  <c r="E6" i="9"/>
  <c r="K6" i="9" s="1"/>
  <c r="F36" i="9" l="1"/>
  <c r="E36" i="9"/>
  <c r="K36" i="9" s="1"/>
  <c r="C72" i="24"/>
  <c r="C66" i="24"/>
  <c r="D6" i="24"/>
  <c r="C6" i="24"/>
  <c r="D6" i="22"/>
  <c r="E22" i="22"/>
  <c r="E102" i="22"/>
  <c r="E86" i="22"/>
  <c r="D86" i="22"/>
  <c r="E11" i="22"/>
  <c r="D11" i="22"/>
  <c r="F44" i="26"/>
  <c r="F38" i="26"/>
  <c r="F28" i="26"/>
  <c r="F25" i="26"/>
  <c r="E195" i="26"/>
  <c r="E194" i="26" s="1"/>
  <c r="E67" i="26"/>
  <c r="D195" i="26"/>
  <c r="D194" i="26" s="1"/>
  <c r="D187" i="26"/>
  <c r="D151" i="26"/>
  <c r="E128" i="26"/>
  <c r="F128" i="26"/>
  <c r="N33" i="9"/>
  <c r="M33" i="9"/>
  <c r="C5" i="24" l="1"/>
  <c r="I24" i="26"/>
  <c r="I23" i="26"/>
  <c r="I11" i="26"/>
  <c r="D5" i="24"/>
  <c r="G32" i="24"/>
  <c r="F32" i="24"/>
  <c r="G31" i="24"/>
  <c r="F31" i="24"/>
  <c r="G30" i="24"/>
  <c r="F30" i="24"/>
  <c r="G29" i="24"/>
  <c r="F29" i="24"/>
  <c r="G28" i="24"/>
  <c r="F28" i="24"/>
  <c r="G27" i="24"/>
  <c r="F27" i="24"/>
  <c r="G26" i="24"/>
  <c r="F26" i="24"/>
  <c r="G25" i="24"/>
  <c r="F25" i="24"/>
  <c r="G24" i="24"/>
  <c r="F24" i="24"/>
  <c r="G23" i="24"/>
  <c r="F23" i="24"/>
  <c r="G22" i="24"/>
  <c r="F22" i="24"/>
  <c r="G21" i="24"/>
  <c r="F21" i="24"/>
  <c r="G20" i="24"/>
  <c r="F20" i="24"/>
  <c r="G19" i="24"/>
  <c r="F19" i="24"/>
  <c r="G18" i="24"/>
  <c r="F18" i="24"/>
  <c r="G17" i="24"/>
  <c r="F17" i="24"/>
  <c r="G16" i="24"/>
  <c r="F16" i="24"/>
  <c r="G15" i="24"/>
  <c r="F15" i="24"/>
  <c r="G14" i="24"/>
  <c r="F14" i="24"/>
  <c r="G13" i="24"/>
  <c r="F13" i="24"/>
  <c r="G12" i="24"/>
  <c r="F12" i="24"/>
  <c r="G11" i="24"/>
  <c r="F11" i="24"/>
  <c r="G10" i="24"/>
  <c r="F10" i="24"/>
  <c r="G9" i="24"/>
  <c r="F9" i="24"/>
  <c r="G8" i="24"/>
  <c r="F8" i="24"/>
  <c r="G7" i="24"/>
  <c r="F7" i="24"/>
  <c r="H107" i="22"/>
  <c r="G107" i="22"/>
  <c r="H105" i="22"/>
  <c r="G105" i="22"/>
  <c r="H104" i="22"/>
  <c r="G104" i="22"/>
  <c r="G103" i="22"/>
  <c r="H100" i="22"/>
  <c r="G100" i="22"/>
  <c r="H99" i="22"/>
  <c r="G99" i="22"/>
  <c r="H98" i="22"/>
  <c r="G98" i="22"/>
  <c r="H97" i="22"/>
  <c r="G97" i="22"/>
  <c r="H96" i="22"/>
  <c r="G96" i="22"/>
  <c r="H91" i="22"/>
  <c r="G91" i="22"/>
  <c r="H90" i="22"/>
  <c r="G90" i="22"/>
  <c r="H88" i="22"/>
  <c r="G88" i="22"/>
  <c r="H87" i="22"/>
  <c r="G87" i="22"/>
  <c r="H85" i="22"/>
  <c r="G85" i="22"/>
  <c r="H84" i="22"/>
  <c r="G84" i="22"/>
  <c r="H83" i="22"/>
  <c r="G83" i="22"/>
  <c r="H80" i="22"/>
  <c r="G80" i="22"/>
  <c r="H77" i="22"/>
  <c r="G77" i="22"/>
  <c r="H76" i="22"/>
  <c r="G76" i="22"/>
  <c r="H74" i="22"/>
  <c r="G74" i="22"/>
  <c r="H73" i="22"/>
  <c r="G73" i="22"/>
  <c r="H71" i="22"/>
  <c r="G71" i="22"/>
  <c r="H70" i="22"/>
  <c r="G70" i="22"/>
  <c r="H63" i="22"/>
  <c r="G63" i="22"/>
  <c r="H23" i="22"/>
  <c r="G23" i="22"/>
  <c r="G210" i="26"/>
  <c r="H210" i="26" s="1"/>
  <c r="G208" i="26"/>
  <c r="H208" i="26" s="1"/>
  <c r="G204" i="26"/>
  <c r="H204" i="26" s="1"/>
  <c r="G200" i="26"/>
  <c r="H200" i="26" s="1"/>
  <c r="G199" i="26"/>
  <c r="H199" i="26" s="1"/>
  <c r="G198" i="26"/>
  <c r="H198" i="26" s="1"/>
  <c r="G196" i="26"/>
  <c r="H196" i="26" s="1"/>
  <c r="G193" i="26"/>
  <c r="H193" i="26" s="1"/>
  <c r="G191" i="26"/>
  <c r="H191" i="26" s="1"/>
  <c r="G190" i="26"/>
  <c r="H190" i="26" s="1"/>
  <c r="G189" i="26"/>
  <c r="H189" i="26" s="1"/>
  <c r="G188" i="26"/>
  <c r="H188" i="26" s="1"/>
  <c r="G186" i="26"/>
  <c r="H186" i="26" s="1"/>
  <c r="G185" i="26"/>
  <c r="H185" i="26" s="1"/>
  <c r="G180" i="26"/>
  <c r="H180" i="26" s="1"/>
  <c r="G177" i="26"/>
  <c r="H177" i="26" s="1"/>
  <c r="G175" i="26"/>
  <c r="H175" i="26" s="1"/>
  <c r="G174" i="26"/>
  <c r="H174" i="26" s="1"/>
  <c r="G171" i="26"/>
  <c r="H171" i="26" s="1"/>
  <c r="G169" i="26"/>
  <c r="H169" i="26" s="1"/>
  <c r="G166" i="26"/>
  <c r="H166" i="26" s="1"/>
  <c r="G164" i="26"/>
  <c r="H164" i="26" s="1"/>
  <c r="G163" i="26"/>
  <c r="H163" i="26" s="1"/>
  <c r="G162" i="26"/>
  <c r="H162" i="26" s="1"/>
  <c r="G161" i="26"/>
  <c r="H161" i="26" s="1"/>
  <c r="G158" i="26"/>
  <c r="H158" i="26" s="1"/>
  <c r="G157" i="26"/>
  <c r="H157" i="26" s="1"/>
  <c r="G156" i="26"/>
  <c r="H156" i="26" s="1"/>
  <c r="G155" i="26"/>
  <c r="H155" i="26" s="1"/>
  <c r="G154" i="26"/>
  <c r="H154" i="26" s="1"/>
  <c r="G153" i="26"/>
  <c r="H153" i="26" s="1"/>
  <c r="G152" i="26"/>
  <c r="H152" i="26" s="1"/>
  <c r="G148" i="26"/>
  <c r="H148" i="26" s="1"/>
  <c r="G147" i="26"/>
  <c r="H147" i="26" s="1"/>
  <c r="G145" i="26"/>
  <c r="H145" i="26" s="1"/>
  <c r="G144" i="26"/>
  <c r="H144" i="26" s="1"/>
  <c r="G143" i="26"/>
  <c r="H143" i="26" s="1"/>
  <c r="G142" i="26"/>
  <c r="H142" i="26" s="1"/>
  <c r="G141" i="26"/>
  <c r="H141" i="26" s="1"/>
  <c r="G140" i="26"/>
  <c r="H140" i="26" s="1"/>
  <c r="G135" i="26"/>
  <c r="H135" i="26" s="1"/>
  <c r="G130" i="26"/>
  <c r="H130" i="26" s="1"/>
  <c r="G129" i="26"/>
  <c r="H129" i="26" s="1"/>
  <c r="G127" i="26"/>
  <c r="H127" i="26" s="1"/>
  <c r="G126" i="26"/>
  <c r="H126" i="26" s="1"/>
  <c r="G125" i="26"/>
  <c r="H125" i="26" s="1"/>
  <c r="G124" i="26"/>
  <c r="H124" i="26" s="1"/>
  <c r="G119" i="26"/>
  <c r="H119" i="26" s="1"/>
  <c r="G118" i="26"/>
  <c r="H118" i="26" s="1"/>
  <c r="G113" i="26"/>
  <c r="H113" i="26" s="1"/>
  <c r="G112" i="26"/>
  <c r="H112" i="26" s="1"/>
  <c r="G111" i="26"/>
  <c r="H111" i="26" s="1"/>
  <c r="G110" i="26"/>
  <c r="H110" i="26" s="1"/>
  <c r="G107" i="26"/>
  <c r="H107" i="26" s="1"/>
  <c r="G106" i="26"/>
  <c r="H106" i="26" s="1"/>
  <c r="G105" i="26"/>
  <c r="H105" i="26" s="1"/>
  <c r="G104" i="26"/>
  <c r="H104" i="26" s="1"/>
  <c r="G103" i="26"/>
  <c r="H103" i="26" s="1"/>
  <c r="G96" i="26"/>
  <c r="H96" i="26" s="1"/>
  <c r="G95" i="26"/>
  <c r="H95" i="26" s="1"/>
  <c r="G85" i="26"/>
  <c r="H85" i="26" s="1"/>
  <c r="G84" i="26"/>
  <c r="H84" i="26" s="1"/>
  <c r="G83" i="26"/>
  <c r="H83" i="26" s="1"/>
  <c r="G82" i="26"/>
  <c r="H82" i="26" s="1"/>
  <c r="G81" i="26"/>
  <c r="H81" i="26" s="1"/>
  <c r="G80" i="26"/>
  <c r="H80" i="26" s="1"/>
  <c r="G75" i="26"/>
  <c r="H75" i="26" s="1"/>
  <c r="G74" i="26"/>
  <c r="H74" i="26" s="1"/>
  <c r="G70" i="26"/>
  <c r="H70" i="26" s="1"/>
  <c r="G69" i="26"/>
  <c r="H69" i="26" s="1"/>
  <c r="G68" i="26"/>
  <c r="G66" i="26"/>
  <c r="H66" i="26" s="1"/>
  <c r="G65" i="26"/>
  <c r="H65" i="26" s="1"/>
  <c r="G63" i="26"/>
  <c r="H63" i="26" s="1"/>
  <c r="G62" i="26"/>
  <c r="H62" i="26" s="1"/>
  <c r="G60" i="26"/>
  <c r="H60" i="26" s="1"/>
  <c r="G59" i="26"/>
  <c r="H59" i="26" s="1"/>
  <c r="G58" i="26"/>
  <c r="H58" i="26" s="1"/>
  <c r="G56" i="26"/>
  <c r="H56" i="26" s="1"/>
  <c r="G55" i="26"/>
  <c r="H55" i="26" s="1"/>
  <c r="G54" i="26"/>
  <c r="H54" i="26" s="1"/>
  <c r="G53" i="26"/>
  <c r="H53" i="26" s="1"/>
  <c r="G52" i="26"/>
  <c r="H52" i="26" s="1"/>
  <c r="G49" i="26"/>
  <c r="G47" i="26"/>
  <c r="H47" i="26" s="1"/>
  <c r="G46" i="26"/>
  <c r="H46" i="26" s="1"/>
  <c r="G45" i="26"/>
  <c r="H45" i="26" s="1"/>
  <c r="G44" i="26"/>
  <c r="H44" i="26" s="1"/>
  <c r="G43" i="26"/>
  <c r="H43" i="26" s="1"/>
  <c r="G42" i="26"/>
  <c r="G41" i="26"/>
  <c r="H41" i="26" s="1"/>
  <c r="G40" i="26"/>
  <c r="H40" i="26" s="1"/>
  <c r="G39" i="26"/>
  <c r="G37" i="26"/>
  <c r="G36" i="26"/>
  <c r="G35" i="26"/>
  <c r="H35" i="26" s="1"/>
  <c r="G34" i="26"/>
  <c r="H34" i="26" s="1"/>
  <c r="G33" i="26"/>
  <c r="G32" i="26"/>
  <c r="H32" i="26" s="1"/>
  <c r="G31" i="26"/>
  <c r="G30" i="26"/>
  <c r="H30" i="26" s="1"/>
  <c r="G29" i="26"/>
  <c r="H29" i="26" s="1"/>
  <c r="G28" i="26"/>
  <c r="H28" i="26" s="1"/>
  <c r="G27" i="26"/>
  <c r="H27" i="26" s="1"/>
  <c r="G26" i="26"/>
  <c r="H26" i="26" s="1"/>
  <c r="G25" i="26"/>
  <c r="H25" i="26" s="1"/>
  <c r="G24" i="26"/>
  <c r="H24" i="26" s="1"/>
  <c r="G22" i="26"/>
  <c r="H22" i="26" s="1"/>
  <c r="G21" i="26"/>
  <c r="H21" i="26" s="1"/>
  <c r="G20" i="26"/>
  <c r="H20" i="26" s="1"/>
  <c r="G19" i="26"/>
  <c r="H19" i="26" s="1"/>
  <c r="G18" i="26"/>
  <c r="H18" i="26" s="1"/>
  <c r="G17" i="26"/>
  <c r="H17" i="26" s="1"/>
  <c r="G15" i="26"/>
  <c r="H15" i="26" s="1"/>
  <c r="G14" i="26"/>
  <c r="H14" i="26" s="1"/>
  <c r="G13" i="26"/>
  <c r="H13" i="26" s="1"/>
  <c r="H12" i="26"/>
  <c r="G11" i="26"/>
  <c r="H11" i="26" s="1"/>
  <c r="F168" i="26"/>
  <c r="G149" i="26"/>
  <c r="H149" i="26" s="1"/>
  <c r="G101" i="26"/>
  <c r="H101" i="26" s="1"/>
  <c r="F167" i="26" l="1"/>
  <c r="F165" i="26" s="1"/>
  <c r="M28" i="26"/>
  <c r="L28" i="26"/>
  <c r="M27" i="26"/>
  <c r="L27" i="26"/>
  <c r="M26" i="26"/>
  <c r="L26" i="26"/>
  <c r="M25" i="26"/>
  <c r="L25" i="26"/>
  <c r="K28" i="26"/>
  <c r="K27" i="26"/>
  <c r="K26" i="26"/>
  <c r="K25" i="26"/>
  <c r="M20" i="26"/>
  <c r="N10" i="26" s="1"/>
  <c r="L20" i="26"/>
  <c r="M19" i="26"/>
  <c r="L19" i="26"/>
  <c r="F207" i="26" l="1"/>
  <c r="F160" i="26"/>
  <c r="G160" i="26" s="1"/>
  <c r="H160" i="26" s="1"/>
  <c r="E100" i="26"/>
  <c r="M13" i="26"/>
  <c r="M34" i="26" s="1"/>
  <c r="L13" i="26"/>
  <c r="L34" i="26" s="1"/>
  <c r="M33" i="26"/>
  <c r="L12" i="26"/>
  <c r="L33" i="26" s="1"/>
  <c r="M32" i="26"/>
  <c r="L32" i="26"/>
  <c r="F159" i="26" l="1"/>
  <c r="G159" i="26" s="1"/>
  <c r="H159" i="26" s="1"/>
  <c r="D96" i="14"/>
  <c r="D95" i="14"/>
  <c r="D94" i="14"/>
  <c r="D89" i="14"/>
  <c r="D85" i="14"/>
  <c r="D81" i="14"/>
  <c r="D64" i="14"/>
  <c r="D57" i="14"/>
  <c r="D52" i="14"/>
  <c r="F45" i="14"/>
  <c r="F25" i="14"/>
  <c r="F22" i="14"/>
  <c r="F16" i="14"/>
  <c r="F9" i="14"/>
  <c r="F15" i="14" s="1"/>
  <c r="F31" i="14" s="1"/>
  <c r="F36" i="14" s="1"/>
  <c r="D45" i="14"/>
  <c r="G75" i="14"/>
  <c r="F96" i="14"/>
  <c r="F95" i="14"/>
  <c r="F94" i="14"/>
  <c r="F173" i="26"/>
  <c r="F151" i="26"/>
  <c r="G151" i="26" s="1"/>
  <c r="H151" i="26" s="1"/>
  <c r="F184" i="26"/>
  <c r="F117" i="26"/>
  <c r="F195" i="26"/>
  <c r="F179" i="26"/>
  <c r="F39" i="14" l="1"/>
  <c r="H92" i="22"/>
  <c r="G92" i="22"/>
  <c r="F194" i="26"/>
  <c r="G194" i="26" s="1"/>
  <c r="H194" i="26" s="1"/>
  <c r="G195" i="26"/>
  <c r="H195" i="26" s="1"/>
  <c r="F183" i="26"/>
  <c r="G68" i="22"/>
  <c r="H68" i="22"/>
  <c r="G94" i="22"/>
  <c r="H94" i="22"/>
  <c r="G66" i="22"/>
  <c r="H66" i="22"/>
  <c r="H72" i="22"/>
  <c r="G72" i="22"/>
  <c r="H65" i="22"/>
  <c r="G65" i="22"/>
  <c r="G69" i="22"/>
  <c r="H93" i="22"/>
  <c r="G93" i="22"/>
  <c r="F178" i="26"/>
  <c r="H95" i="22"/>
  <c r="G95" i="22"/>
  <c r="H64" i="22"/>
  <c r="G64" i="22"/>
  <c r="D93" i="14"/>
  <c r="F79" i="26"/>
  <c r="E79" i="26"/>
  <c r="F22" i="22"/>
  <c r="G48" i="26"/>
  <c r="H48" i="26" s="1"/>
  <c r="G38" i="26"/>
  <c r="H38" i="26" s="1"/>
  <c r="F6" i="24"/>
  <c r="F51" i="26"/>
  <c r="E51" i="26"/>
  <c r="G6" i="24" l="1"/>
  <c r="G51" i="26"/>
  <c r="H51" i="26" s="1"/>
  <c r="F176" i="26"/>
  <c r="G176" i="26" s="1"/>
  <c r="H176" i="26" s="1"/>
  <c r="F181" i="26"/>
  <c r="G79" i="26"/>
  <c r="H79" i="26" s="1"/>
  <c r="F23" i="26"/>
  <c r="I9" i="26" s="1"/>
  <c r="K13" i="26"/>
  <c r="K34" i="26" s="1"/>
  <c r="D162" i="26"/>
  <c r="D79" i="26"/>
  <c r="D67" i="26"/>
  <c r="K20" i="26"/>
  <c r="K19" i="26"/>
  <c r="D23" i="26"/>
  <c r="D22" i="22"/>
  <c r="C96" i="14"/>
  <c r="C95" i="14"/>
  <c r="C94" i="14"/>
  <c r="C89" i="14"/>
  <c r="C85" i="14"/>
  <c r="C81" i="14"/>
  <c r="C64" i="14"/>
  <c r="C57" i="14"/>
  <c r="C52" i="14"/>
  <c r="C49" i="14"/>
  <c r="C48" i="14"/>
  <c r="C47" i="14"/>
  <c r="C46" i="14"/>
  <c r="C45" i="14"/>
  <c r="C42" i="14"/>
  <c r="C36" i="14"/>
  <c r="C39" i="14" s="1"/>
  <c r="K33" i="26" l="1"/>
  <c r="M14" i="26"/>
  <c r="C93" i="14"/>
  <c r="D64" i="26"/>
  <c r="K29" i="26"/>
  <c r="K32" i="26"/>
  <c r="D46" i="22"/>
  <c r="C43" i="14"/>
  <c r="C40" i="14" s="1"/>
  <c r="H59" i="22" l="1"/>
  <c r="G59" i="22"/>
  <c r="H58" i="22"/>
  <c r="G58" i="22"/>
  <c r="H56" i="22"/>
  <c r="G56" i="22"/>
  <c r="H50" i="22"/>
  <c r="G50" i="22"/>
  <c r="H39" i="22"/>
  <c r="G39" i="22"/>
  <c r="G37" i="22"/>
  <c r="H35" i="22"/>
  <c r="G35" i="22"/>
  <c r="H34" i="22"/>
  <c r="G34" i="22"/>
  <c r="H33" i="22"/>
  <c r="G33" i="22"/>
  <c r="H32" i="22"/>
  <c r="G32" i="22"/>
  <c r="H30" i="22"/>
  <c r="G30" i="22"/>
  <c r="H28" i="22"/>
  <c r="G28" i="22"/>
  <c r="H24" i="22"/>
  <c r="G24" i="22"/>
  <c r="H21" i="22"/>
  <c r="G21" i="22"/>
  <c r="H17" i="22"/>
  <c r="G17" i="22"/>
  <c r="H16" i="22"/>
  <c r="G16" i="22"/>
  <c r="H15" i="22"/>
  <c r="G15" i="22"/>
  <c r="H13" i="22"/>
  <c r="G13" i="22"/>
  <c r="F76" i="14"/>
  <c r="G76" i="14" s="1"/>
  <c r="G72" i="14"/>
  <c r="G8" i="22" l="1"/>
  <c r="H9" i="22"/>
  <c r="G9" i="22"/>
  <c r="H8" i="22" l="1"/>
  <c r="H12" i="22"/>
  <c r="F11" i="22"/>
  <c r="H14" i="22"/>
  <c r="G14" i="22"/>
  <c r="H18" i="22"/>
  <c r="G18" i="22"/>
  <c r="G12" i="22"/>
  <c r="F73" i="26"/>
  <c r="F71" i="26" l="1"/>
  <c r="D78" i="26"/>
  <c r="D172" i="26"/>
  <c r="D170" i="26" s="1"/>
  <c r="D168" i="26" s="1"/>
  <c r="D167" i="26" s="1"/>
  <c r="D165" i="26" s="1"/>
  <c r="D94" i="26"/>
  <c r="F116" i="26"/>
  <c r="E117" i="26"/>
  <c r="D117" i="26"/>
  <c r="D116" i="26" s="1"/>
  <c r="D114" i="26" s="1"/>
  <c r="E116" i="26" l="1"/>
  <c r="E114" i="26" s="1"/>
  <c r="G117" i="26"/>
  <c r="H117" i="26" s="1"/>
  <c r="F114" i="26"/>
  <c r="G114" i="26" l="1"/>
  <c r="H114" i="26" s="1"/>
  <c r="G116" i="26"/>
  <c r="H116" i="26" s="1"/>
  <c r="F85" i="14"/>
  <c r="F81" i="14"/>
  <c r="F64" i="14"/>
  <c r="F57" i="14"/>
  <c r="F52" i="14"/>
  <c r="F42" i="14"/>
  <c r="H102" i="22" l="1"/>
  <c r="G102" i="22"/>
  <c r="F93" i="14"/>
  <c r="F43" i="14"/>
  <c r="F40" i="14" s="1"/>
  <c r="H51" i="22"/>
  <c r="G51" i="22"/>
  <c r="H60" i="22"/>
  <c r="G60" i="22"/>
  <c r="H40" i="22"/>
  <c r="G40" i="22"/>
  <c r="G29" i="22"/>
  <c r="H29" i="22"/>
  <c r="H52" i="22"/>
  <c r="G52" i="22"/>
  <c r="H62" i="22"/>
  <c r="G62" i="22"/>
  <c r="G41" i="22"/>
  <c r="H41" i="22"/>
  <c r="H53" i="22"/>
  <c r="G53" i="22"/>
  <c r="H42" i="22"/>
  <c r="G42" i="22"/>
  <c r="H54" i="22"/>
  <c r="G54" i="22"/>
  <c r="H43" i="22"/>
  <c r="G43" i="22"/>
  <c r="H47" i="22"/>
  <c r="G47" i="22"/>
  <c r="H55" i="22"/>
  <c r="G55" i="22"/>
  <c r="G36" i="22"/>
  <c r="H36" i="22"/>
  <c r="H48" i="22"/>
  <c r="G48" i="22"/>
  <c r="H57" i="22"/>
  <c r="G57" i="22"/>
  <c r="G49" i="22"/>
  <c r="H49" i="22"/>
  <c r="H31" i="22"/>
  <c r="G31" i="22"/>
  <c r="G38" i="22"/>
  <c r="E25" i="14" l="1"/>
  <c r="E22" i="14"/>
  <c r="E42" i="14" s="1"/>
  <c r="E16" i="14"/>
  <c r="E9" i="14"/>
  <c r="E43" i="14" s="1"/>
  <c r="H46" i="22"/>
  <c r="E187" i="26"/>
  <c r="G187" i="26" s="1"/>
  <c r="H187" i="26" s="1"/>
  <c r="E184" i="26"/>
  <c r="G184" i="26" s="1"/>
  <c r="H184" i="26" s="1"/>
  <c r="E73" i="26"/>
  <c r="G73" i="26" s="1"/>
  <c r="H73" i="26" s="1"/>
  <c r="E23" i="26"/>
  <c r="G23" i="26" s="1"/>
  <c r="H23" i="26" s="1"/>
  <c r="L14" i="26" l="1"/>
  <c r="E40" i="14"/>
  <c r="H40" i="14" s="1"/>
  <c r="E71" i="26"/>
  <c r="G71" i="26" s="1"/>
  <c r="H71" i="26" s="1"/>
  <c r="G46" i="22"/>
  <c r="E15" i="14"/>
  <c r="E31" i="14" s="1"/>
  <c r="E36" i="14" s="1"/>
  <c r="E39" i="14" l="1"/>
  <c r="H39" i="14" s="1"/>
  <c r="H36" i="14"/>
  <c r="N9" i="9" l="1"/>
  <c r="M7" i="9"/>
  <c r="N32" i="9"/>
  <c r="M32" i="9"/>
  <c r="M9" i="9"/>
  <c r="N6" i="9"/>
  <c r="N36" i="9" s="1"/>
  <c r="N7" i="9"/>
  <c r="M6" i="9"/>
  <c r="F67" i="26"/>
  <c r="F203" i="26"/>
  <c r="E203" i="26"/>
  <c r="D203" i="26"/>
  <c r="M36" i="9" l="1"/>
  <c r="G203" i="26"/>
  <c r="H203" i="26" s="1"/>
  <c r="F64" i="26"/>
  <c r="E179" i="26"/>
  <c r="G179" i="26" s="1"/>
  <c r="H179" i="26" s="1"/>
  <c r="D179" i="26"/>
  <c r="D178" i="26" s="1"/>
  <c r="F172" i="26"/>
  <c r="E173" i="26"/>
  <c r="G173" i="26" s="1"/>
  <c r="H173" i="26" s="1"/>
  <c r="F94" i="26"/>
  <c r="F93" i="26" l="1"/>
  <c r="F170" i="26"/>
  <c r="E178" i="26"/>
  <c r="G178" i="26" s="1"/>
  <c r="H178" i="26" s="1"/>
  <c r="E172" i="26"/>
  <c r="E170" i="26" s="1"/>
  <c r="E168" i="26" s="1"/>
  <c r="G168" i="26" s="1"/>
  <c r="H168" i="26" s="1"/>
  <c r="F109" i="26"/>
  <c r="G170" i="26" l="1"/>
  <c r="H170" i="26" s="1"/>
  <c r="F108" i="26"/>
  <c r="G109" i="26"/>
  <c r="H109" i="26" s="1"/>
  <c r="G172" i="26"/>
  <c r="H172" i="26" s="1"/>
  <c r="F91" i="26"/>
  <c r="E167" i="26"/>
  <c r="G167" i="26" s="1"/>
  <c r="H167" i="26" s="1"/>
  <c r="L29" i="26" l="1"/>
  <c r="G67" i="26"/>
  <c r="H67" i="26" s="1"/>
  <c r="E165" i="26"/>
  <c r="G165" i="26" l="1"/>
  <c r="H165" i="26" s="1"/>
  <c r="D209" i="26"/>
  <c r="K24" i="26" s="1"/>
  <c r="D201" i="26"/>
  <c r="K14" i="26"/>
  <c r="D184" i="26"/>
  <c r="D139" i="26"/>
  <c r="D138" i="26" s="1"/>
  <c r="D136" i="26" s="1"/>
  <c r="D134" i="26"/>
  <c r="D133" i="26"/>
  <c r="D131" i="26" s="1"/>
  <c r="D129" i="26"/>
  <c r="D128" i="26" s="1"/>
  <c r="D123" i="26"/>
  <c r="D122" i="26" s="1"/>
  <c r="D109" i="26"/>
  <c r="D108" i="26" s="1"/>
  <c r="D93" i="26"/>
  <c r="D91" i="26" s="1"/>
  <c r="D76" i="26"/>
  <c r="D57" i="26"/>
  <c r="D51" i="26"/>
  <c r="D9" i="26"/>
  <c r="D20" i="22"/>
  <c r="D5" i="22" s="1"/>
  <c r="K22" i="26" l="1"/>
  <c r="K35" i="26" s="1"/>
  <c r="K18" i="26"/>
  <c r="D100" i="26"/>
  <c r="K10" i="26" s="1"/>
  <c r="D207" i="26"/>
  <c r="D205" i="26" s="1"/>
  <c r="D82" i="22"/>
  <c r="D50" i="26"/>
  <c r="K17" i="26" s="1"/>
  <c r="D183" i="26"/>
  <c r="D181" i="26" s="1"/>
  <c r="D120" i="26"/>
  <c r="D27" i="22"/>
  <c r="D8" i="26"/>
  <c r="K31" i="26" l="1"/>
  <c r="K36" i="26" s="1"/>
  <c r="D99" i="26"/>
  <c r="D97" i="26" s="1"/>
  <c r="D6" i="26"/>
  <c r="D5" i="26" s="1"/>
  <c r="K9" i="26" l="1"/>
  <c r="K7" i="26" s="1"/>
  <c r="F8" i="26"/>
  <c r="E6" i="22"/>
  <c r="F133" i="26"/>
  <c r="F131" i="26" l="1"/>
  <c r="H22" i="22"/>
  <c r="G22" i="22"/>
  <c r="F57" i="26"/>
  <c r="M22" i="26" l="1"/>
  <c r="M35" i="26" s="1"/>
  <c r="E49" i="14"/>
  <c r="E48" i="14"/>
  <c r="E47" i="14"/>
  <c r="E46" i="14"/>
  <c r="E45" i="14"/>
  <c r="F49" i="14"/>
  <c r="F48" i="14"/>
  <c r="F47" i="14"/>
  <c r="D49" i="14"/>
  <c r="D48" i="14"/>
  <c r="D47" i="14"/>
  <c r="D46" i="14"/>
  <c r="F82" i="22" l="1"/>
  <c r="E9" i="26" l="1"/>
  <c r="G9" i="26" l="1"/>
  <c r="H9" i="26" s="1"/>
  <c r="E8" i="26"/>
  <c r="F78" i="26"/>
  <c r="G8" i="26" l="1"/>
  <c r="H8" i="26" s="1"/>
  <c r="E20" i="22"/>
  <c r="E209" i="26" l="1"/>
  <c r="F209" i="26"/>
  <c r="M24" i="26" l="1"/>
  <c r="G209" i="26"/>
  <c r="H209" i="26" s="1"/>
  <c r="E82" i="22"/>
  <c r="H82" i="22" l="1"/>
  <c r="G82" i="22"/>
  <c r="F100" i="26"/>
  <c r="G100" i="26" l="1"/>
  <c r="H100" i="26" s="1"/>
  <c r="F99" i="26"/>
  <c r="H13" i="14" l="1"/>
  <c r="E207" i="26"/>
  <c r="E205" i="26" l="1"/>
  <c r="G207" i="26"/>
  <c r="H207" i="26" s="1"/>
  <c r="F205" i="26"/>
  <c r="H14" i="14"/>
  <c r="H53" i="14"/>
  <c r="H32" i="14"/>
  <c r="H27" i="14"/>
  <c r="H28" i="14"/>
  <c r="G10" i="26"/>
  <c r="H10" i="26" s="1"/>
  <c r="G205" i="26" l="1"/>
  <c r="H205" i="26" s="1"/>
  <c r="E94" i="26"/>
  <c r="G128" i="26"/>
  <c r="H128" i="26" s="1"/>
  <c r="G94" i="26" l="1"/>
  <c r="H94" i="26" s="1"/>
  <c r="E93" i="26"/>
  <c r="E91" i="26" l="1"/>
  <c r="G91" i="26" s="1"/>
  <c r="H91" i="26" s="1"/>
  <c r="G93" i="26"/>
  <c r="H93" i="26" s="1"/>
  <c r="E201" i="26"/>
  <c r="F123" i="26" l="1"/>
  <c r="F122" i="26" l="1"/>
  <c r="F201" i="26"/>
  <c r="G201" i="26" s="1"/>
  <c r="H201" i="26" s="1"/>
  <c r="F50" i="26"/>
  <c r="F6" i="26" s="1"/>
  <c r="M17" i="26" l="1"/>
  <c r="F120" i="26"/>
  <c r="J7" i="26" l="1"/>
  <c r="E123" i="26"/>
  <c r="E78" i="26"/>
  <c r="E57" i="26"/>
  <c r="G123" i="26" l="1"/>
  <c r="H123" i="26" s="1"/>
  <c r="G78" i="26"/>
  <c r="H78" i="26" s="1"/>
  <c r="L22" i="26"/>
  <c r="L35" i="26" s="1"/>
  <c r="G57" i="26"/>
  <c r="H57" i="26" s="1"/>
  <c r="H86" i="22"/>
  <c r="G86" i="22"/>
  <c r="E99" i="26"/>
  <c r="E76" i="26"/>
  <c r="E122" i="26"/>
  <c r="G99" i="26" l="1"/>
  <c r="H99" i="26" s="1"/>
  <c r="E120" i="26"/>
  <c r="G120" i="26" s="1"/>
  <c r="H120" i="26" s="1"/>
  <c r="G122" i="26"/>
  <c r="H122" i="26" s="1"/>
  <c r="F139" i="26"/>
  <c r="M10" i="26" s="1"/>
  <c r="E183" i="26"/>
  <c r="E139" i="26"/>
  <c r="L10" i="26" s="1"/>
  <c r="E134" i="26"/>
  <c r="L18" i="26" s="1"/>
  <c r="E64" i="26"/>
  <c r="G139" i="26" l="1"/>
  <c r="H139" i="26" s="1"/>
  <c r="L24" i="26"/>
  <c r="G64" i="26"/>
  <c r="H64" i="26" s="1"/>
  <c r="E181" i="26"/>
  <c r="G181" i="26" s="1"/>
  <c r="H181" i="26" s="1"/>
  <c r="G183" i="26"/>
  <c r="H183" i="26" s="1"/>
  <c r="L31" i="26"/>
  <c r="L36" i="26" s="1"/>
  <c r="F138" i="26"/>
  <c r="M9" i="26" s="1"/>
  <c r="E138" i="26"/>
  <c r="L9" i="26" s="1"/>
  <c r="E133" i="26"/>
  <c r="G133" i="26" s="1"/>
  <c r="H133" i="26" s="1"/>
  <c r="O9" i="26" l="1"/>
  <c r="M7" i="26"/>
  <c r="G138" i="26"/>
  <c r="H138" i="26" s="1"/>
  <c r="F136" i="26"/>
  <c r="E136" i="26"/>
  <c r="E131" i="26"/>
  <c r="G131" i="26" s="1"/>
  <c r="H131" i="26" s="1"/>
  <c r="F76" i="26"/>
  <c r="H7" i="22"/>
  <c r="G7" i="22"/>
  <c r="H82" i="14"/>
  <c r="H83" i="14"/>
  <c r="H84" i="14"/>
  <c r="H86" i="14"/>
  <c r="H87" i="14"/>
  <c r="H88" i="14"/>
  <c r="H90" i="14"/>
  <c r="H91" i="14"/>
  <c r="H92" i="14"/>
  <c r="G82" i="14"/>
  <c r="G83" i="14"/>
  <c r="G84" i="14"/>
  <c r="G86" i="14"/>
  <c r="G87" i="14"/>
  <c r="G88" i="14"/>
  <c r="G90" i="14"/>
  <c r="G91" i="14"/>
  <c r="G92" i="14"/>
  <c r="G71" i="14"/>
  <c r="G73" i="14"/>
  <c r="G74" i="14"/>
  <c r="G77" i="14"/>
  <c r="G53" i="14"/>
  <c r="G54" i="14"/>
  <c r="G55" i="14"/>
  <c r="G56" i="14"/>
  <c r="G58" i="14"/>
  <c r="G59" i="14"/>
  <c r="G60" i="14"/>
  <c r="G61" i="14"/>
  <c r="G62" i="14"/>
  <c r="G63" i="14"/>
  <c r="G65" i="14"/>
  <c r="G66" i="14"/>
  <c r="G67" i="14"/>
  <c r="G32" i="14"/>
  <c r="G33" i="14"/>
  <c r="G34" i="14"/>
  <c r="G35" i="14"/>
  <c r="G37" i="14"/>
  <c r="G38" i="14"/>
  <c r="G41" i="14"/>
  <c r="G26" i="14"/>
  <c r="G27" i="14"/>
  <c r="G28" i="14"/>
  <c r="G29" i="14"/>
  <c r="G13" i="14"/>
  <c r="G14" i="14"/>
  <c r="G136" i="26" l="1"/>
  <c r="H136" i="26" s="1"/>
  <c r="G76" i="26"/>
  <c r="H76" i="26" s="1"/>
  <c r="F134" i="26"/>
  <c r="E108" i="26"/>
  <c r="F20" i="22"/>
  <c r="E5" i="22"/>
  <c r="M18" i="26" l="1"/>
  <c r="M31" i="26" s="1"/>
  <c r="M36" i="26" s="1"/>
  <c r="G134" i="26"/>
  <c r="H134" i="26" s="1"/>
  <c r="E97" i="26"/>
  <c r="G108" i="26"/>
  <c r="H108" i="26" s="1"/>
  <c r="G20" i="22"/>
  <c r="H20" i="22"/>
  <c r="H27" i="22"/>
  <c r="G27" i="22"/>
  <c r="F97" i="26"/>
  <c r="F5" i="26" s="1"/>
  <c r="F5" i="22"/>
  <c r="E50" i="26"/>
  <c r="G97" i="26" l="1"/>
  <c r="H97" i="26" s="1"/>
  <c r="J5" i="26"/>
  <c r="L17" i="26"/>
  <c r="L7" i="26" s="1"/>
  <c r="G50" i="26"/>
  <c r="H50" i="26" s="1"/>
  <c r="E6" i="26"/>
  <c r="E5" i="26" s="1"/>
  <c r="H34" i="14"/>
  <c r="G5" i="26" l="1"/>
  <c r="H5" i="26" s="1"/>
  <c r="G6" i="26"/>
  <c r="H6" i="26" s="1"/>
  <c r="E81" i="14"/>
  <c r="F50" i="14"/>
  <c r="F5" i="24"/>
  <c r="G94" i="14" l="1"/>
  <c r="H94" i="14"/>
  <c r="H96" i="14"/>
  <c r="G96" i="14"/>
  <c r="H81" i="14"/>
  <c r="G81" i="14"/>
  <c r="G95" i="14"/>
  <c r="H95" i="14"/>
  <c r="G40" i="14" l="1"/>
  <c r="G39" i="14"/>
  <c r="G36" i="14"/>
  <c r="D70" i="14" l="1"/>
  <c r="D50" i="14"/>
  <c r="D68" i="14" l="1"/>
  <c r="H25" i="14"/>
  <c r="H16" i="14"/>
  <c r="G8" i="14"/>
  <c r="H8" i="14"/>
  <c r="G10" i="14"/>
  <c r="H10" i="14"/>
  <c r="G11" i="14"/>
  <c r="H11" i="14"/>
  <c r="G12" i="14"/>
  <c r="H12" i="14"/>
  <c r="G17" i="14"/>
  <c r="H17" i="14"/>
  <c r="G18" i="14"/>
  <c r="H18" i="14"/>
  <c r="G19" i="14"/>
  <c r="H19" i="14"/>
  <c r="G20" i="14"/>
  <c r="G21" i="14"/>
  <c r="H21" i="14"/>
  <c r="G23" i="14"/>
  <c r="G24" i="14"/>
  <c r="H24" i="14"/>
  <c r="G30" i="14"/>
  <c r="H30" i="14"/>
  <c r="G25" i="14" l="1"/>
  <c r="G16" i="14"/>
  <c r="H9" i="14"/>
  <c r="H15" i="14"/>
  <c r="G9" i="14"/>
  <c r="H42" i="14"/>
  <c r="G42" i="14"/>
  <c r="G22" i="14"/>
  <c r="H22" i="14"/>
  <c r="H31" i="14" l="1"/>
  <c r="G15" i="14"/>
  <c r="H43" i="14"/>
  <c r="G43" i="14"/>
  <c r="G31" i="14" l="1"/>
  <c r="H11" i="22" l="1"/>
  <c r="G11" i="22"/>
  <c r="H6" i="22"/>
  <c r="G6" i="22"/>
  <c r="H5" i="22"/>
  <c r="G5" i="22"/>
  <c r="E50" i="14" l="1"/>
  <c r="C50" i="14"/>
  <c r="H49" i="14"/>
  <c r="G49" i="14"/>
  <c r="H48" i="14"/>
  <c r="G48" i="14"/>
  <c r="H47" i="14"/>
  <c r="G47" i="14"/>
  <c r="H46" i="14"/>
  <c r="G46" i="14"/>
  <c r="H45" i="14"/>
  <c r="G45" i="14"/>
  <c r="E85" i="14"/>
  <c r="G85" i="14" l="1"/>
  <c r="H85" i="14"/>
  <c r="H50" i="14"/>
  <c r="G50" i="14"/>
  <c r="E89" i="14" l="1"/>
  <c r="E93" i="14" s="1"/>
  <c r="H89" i="14" l="1"/>
  <c r="G89" i="14"/>
  <c r="G5" i="24"/>
  <c r="H93" i="14" l="1"/>
  <c r="G93" i="14"/>
  <c r="H72" i="14"/>
  <c r="H59" i="14"/>
  <c r="H66" i="14"/>
  <c r="H67" i="14"/>
  <c r="C70" i="14" l="1"/>
  <c r="E70" i="14"/>
  <c r="F70" i="14"/>
  <c r="G70" i="14" l="1"/>
  <c r="H70" i="14"/>
  <c r="E64" i="14"/>
  <c r="E57" i="14"/>
  <c r="E52" i="14"/>
  <c r="G64" i="14" l="1"/>
  <c r="G57" i="14"/>
  <c r="H64" i="14"/>
  <c r="H57" i="14"/>
  <c r="C68" i="14"/>
  <c r="E68" i="14"/>
  <c r="H55" i="14" l="1"/>
  <c r="H52" i="14" l="1"/>
  <c r="G52" i="14"/>
  <c r="F68" i="14"/>
  <c r="G68" i="14" s="1"/>
  <c r="H68" i="14" l="1"/>
</calcChain>
</file>

<file path=xl/sharedStrings.xml><?xml version="1.0" encoding="utf-8"?>
<sst xmlns="http://schemas.openxmlformats.org/spreadsheetml/2006/main" count="685" uniqueCount="422">
  <si>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</si>
  <si>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</si>
  <si>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</si>
  <si>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</si>
  <si>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</si>
  <si>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</si>
  <si>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</si>
  <si>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Усього</t>
  </si>
  <si>
    <t>(посада)</t>
  </si>
  <si>
    <t>(підпис)</t>
  </si>
  <si>
    <t>Інші операційні витрати, усього, 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</si>
  <si>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</si>
  <si>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</si>
  <si>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</si>
  <si>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(ініціали, прізвище)</t>
  </si>
  <si>
    <t>Основні фінансові показники</t>
  </si>
  <si>
    <t>Капітальні інвестиції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</si>
  <si>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</si>
  <si>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</si>
  <si>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</si>
  <si>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</si>
  <si>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</si>
  <si>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</si>
  <si>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Інші доходи, усього, у тому числі: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</si>
  <si>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</si>
  <si>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</si>
  <si>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</si>
  <si>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</si>
  <si>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</si>
  <si>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</si>
  <si>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</si>
  <si>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</si>
  <si>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</si>
  <si>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</si>
  <si>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</si>
  <si>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</si>
  <si>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</si>
  <si>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</si>
  <si>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</si>
  <si>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</si>
  <si>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</si>
  <si>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</si>
  <si>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</si>
  <si>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</si>
  <si>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</si>
  <si>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</si>
  <si>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</si>
  <si>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</si>
  <si>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</si>
  <si>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</si>
  <si>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</si>
  <si>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</si>
  <si>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</si>
  <si>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</si>
  <si>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</si>
  <si>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</si>
  <si>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</si>
  <si>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</si>
  <si>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</si>
  <si>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</si>
  <si>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</si>
  <si>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</si>
  <si>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</si>
  <si>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</si>
  <si>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</si>
  <si>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</si>
  <si>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</si>
  <si>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</si>
  <si>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ВИТРАТИ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</si>
  <si>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</si>
  <si>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</si>
  <si>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</si>
  <si>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</si>
  <si>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</si>
  <si>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</si>
  <si>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</si>
  <si>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Адміністративні витрати, усього, у т.ч.:</t>
  </si>
  <si>
    <t>2.</t>
  </si>
  <si>
    <t>Інші витрати,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</si>
  <si>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</si>
  <si>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</si>
  <si>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</si>
  <si>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</si>
  <si>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</si>
  <si>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</si>
  <si>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4.</t>
  </si>
  <si>
    <t>5.</t>
  </si>
  <si>
    <t>6.1</t>
  </si>
  <si>
    <t>Матеріальні витрати, усього, у т.ч.:</t>
  </si>
  <si>
    <t>5.1</t>
  </si>
  <si>
    <t>факт</t>
  </si>
  <si>
    <t>відхилення, +/-</t>
  </si>
  <si>
    <t>виконання, 
%</t>
  </si>
  <si>
    <t>відхилення, 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</si>
  <si>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</si>
  <si>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</si>
  <si>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</si>
  <si>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</si>
  <si>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</si>
  <si>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</si>
  <si>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Кошти державного бюджету від Національної служби здоров'я України</t>
  </si>
  <si>
    <t>Факт наростаючим підсумком з початку року</t>
  </si>
  <si>
    <t>Елементи операційних витрат:</t>
  </si>
  <si>
    <t>Залучення кредитних коштів</t>
  </si>
  <si>
    <t>Усього:</t>
  </si>
  <si>
    <t>кошти державного бюджету від Національної служби здоров'я України</t>
  </si>
  <si>
    <t>6.</t>
  </si>
  <si>
    <t>7.</t>
  </si>
  <si>
    <t xml:space="preserve">нарахування амортизації на безоплатно отримані активи </t>
  </si>
  <si>
    <t>медикаменти та перев'язувальні матеріали</t>
  </si>
  <si>
    <t xml:space="preserve">бланки медичні та бухгалтерські </t>
  </si>
  <si>
    <t>канцелярські товари</t>
  </si>
  <si>
    <t>передплата періодичних видань</t>
  </si>
  <si>
    <t>страхування водіїв, автотранспорту, на випадок СНіДу, членів добровільних пожежних дружин, на випадок гепатиту</t>
  </si>
  <si>
    <t>витрати на зв'язок</t>
  </si>
  <si>
    <t>послуги архіву</t>
  </si>
  <si>
    <t>метрологічна повірка медичного обладнання</t>
  </si>
  <si>
    <t>обслуговування ліфту</t>
  </si>
  <si>
    <t>дератизація, дезинфекція</t>
  </si>
  <si>
    <t>сигналізація</t>
  </si>
  <si>
    <t>заходи по радіаційній безпеці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</si>
  <si>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</si>
  <si>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</si>
  <si>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</si>
  <si>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оплата інших енергоносіїв</t>
  </si>
  <si>
    <t>обстеження ургентних хворих (КТ)</t>
  </si>
  <si>
    <t>відшкодування пільгових пенсій</t>
  </si>
  <si>
    <t xml:space="preserve">продукти харчування </t>
  </si>
  <si>
    <t>Директор КНП "ВМКЛ ШМД"</t>
  </si>
  <si>
    <t xml:space="preserve">оплата природнього газу  </t>
  </si>
  <si>
    <t>лікарняні листи перші 5 днів</t>
  </si>
  <si>
    <t>Кошти отримані від реалізації майна</t>
  </si>
  <si>
    <t>9.</t>
  </si>
  <si>
    <t>10.</t>
  </si>
  <si>
    <t>Розшифровка до розділу  IV. "Капітальні інвестиції за джерелами надходження"</t>
  </si>
  <si>
    <t>папір</t>
  </si>
  <si>
    <t>миючі засоби</t>
  </si>
  <si>
    <t>будівельні матеріали</t>
  </si>
  <si>
    <t>господарські товари, енергозберігаючі лампочки</t>
  </si>
  <si>
    <t>м'який інвентар</t>
  </si>
  <si>
    <t>ремонт медичного обладнання та поточний ремонт приміщень</t>
  </si>
  <si>
    <t>оренда рентгенустановки</t>
  </si>
  <si>
    <t>Інші адміністративні витрати, в т.ч.:</t>
  </si>
  <si>
    <t>перезарядка картриджів</t>
  </si>
  <si>
    <t>ТО ПК, оргтехніки</t>
  </si>
  <si>
    <t>банківське обслуговування, обслуговування особового рахунку</t>
  </si>
  <si>
    <t>Інші адміністративні витрати, усього, у т.ч.:</t>
  </si>
  <si>
    <t>Собівартість реалізованої продукції (товарів, робіт, послуг):</t>
  </si>
  <si>
    <t>придбання (виготовлення) основних засобів, усього, у т.ч.:</t>
  </si>
  <si>
    <t>план</t>
  </si>
  <si>
    <t>кошти отримані від реалізації майна</t>
  </si>
  <si>
    <t>Інші фінансові доходи, усього, у тому числі:</t>
  </si>
  <si>
    <t>надходження від відсотків за залишками коштів на депозитних рахунках</t>
  </si>
  <si>
    <t>2.1</t>
  </si>
  <si>
    <t>інформаційно-консультативні послуги</t>
  </si>
  <si>
    <t>гістологічне дослідження (патанатомія)</t>
  </si>
  <si>
    <t>1.1.1</t>
  </si>
  <si>
    <t>1.1.2</t>
  </si>
  <si>
    <t>1.1.3</t>
  </si>
  <si>
    <t>1.2.1</t>
  </si>
  <si>
    <t>1.2.2</t>
  </si>
  <si>
    <t>1.2.3</t>
  </si>
  <si>
    <t>1.3</t>
  </si>
  <si>
    <t>2.1.2</t>
  </si>
  <si>
    <t>4.1</t>
  </si>
  <si>
    <t>4.1.1</t>
  </si>
  <si>
    <t>Кошти орендарів (відшкодування за енергоносії)</t>
  </si>
  <si>
    <t>9.1</t>
  </si>
  <si>
    <t>супровід програмного забезпечення</t>
  </si>
  <si>
    <t>обстеження мед.працівників</t>
  </si>
  <si>
    <t>Залишок матеріалів, придбаних у минулих періодах за рахунок коштів медичної субвенції з державного бюджету</t>
  </si>
  <si>
    <t>5.1.1</t>
  </si>
  <si>
    <t>6.1.1</t>
  </si>
  <si>
    <t>7.1</t>
  </si>
  <si>
    <t>7.1.1</t>
  </si>
  <si>
    <t>8.1.1</t>
  </si>
  <si>
    <t>предмети, матеріали, обладнання та інвентар</t>
  </si>
  <si>
    <t>Надходження від відсотків за залишками коштів на депозитних рахунках</t>
  </si>
  <si>
    <t>відхилення, (+/-)</t>
  </si>
  <si>
    <t>відхилення, 
(%)</t>
  </si>
  <si>
    <r>
      <t xml:space="preserve">Кошти від власних надходжень </t>
    </r>
    <r>
      <rPr>
        <i/>
        <sz val="14"/>
        <rFont val="Times New Roman"/>
        <family val="1"/>
        <charset val="204"/>
      </rPr>
      <t>(стажування лікарів-інтернів та медичне обслуговування іноземних громадян)</t>
    </r>
  </si>
  <si>
    <r>
      <t xml:space="preserve">витрати, пов'язані з використанням автомобілів </t>
    </r>
    <r>
      <rPr>
        <i/>
        <sz val="14"/>
        <rFont val="Times New Roman"/>
        <family val="1"/>
        <charset val="204"/>
      </rPr>
      <t>(бензин, дизельне паливо)</t>
    </r>
  </si>
  <si>
    <t>витрати, пов'язані з використанням автомобілів (ТО, ремонт)</t>
  </si>
  <si>
    <t>страхування водіїв, автотранспорту, на випадок СНіДу, членів ДПД</t>
  </si>
  <si>
    <t>охоронні послуги</t>
  </si>
  <si>
    <t>метрологічна повірка медичного обладнання, повірка лічильників</t>
  </si>
  <si>
    <r>
      <t xml:space="preserve">витрати, пов'язані з використанням автомобілів </t>
    </r>
    <r>
      <rPr>
        <i/>
        <sz val="14"/>
        <rFont val="Times New Roman"/>
        <family val="1"/>
        <charset val="204"/>
      </rPr>
      <t>(технічне обслуговування та ремонт)</t>
    </r>
  </si>
  <si>
    <t>9.1.1</t>
  </si>
  <si>
    <t>бланки</t>
  </si>
  <si>
    <t>Інші адміністративні витрати,усього, в т.ч.:</t>
  </si>
  <si>
    <t>Інші операційні витрати, усього, в т.ч.:</t>
  </si>
  <si>
    <t>Інші витрати, усього, в т.ч.:</t>
  </si>
  <si>
    <r>
      <t xml:space="preserve">кошти від власних надходжень </t>
    </r>
    <r>
      <rPr>
        <i/>
        <sz val="14"/>
        <rFont val="Times New Roman"/>
        <family val="1"/>
        <charset val="204"/>
      </rPr>
      <t>(стажування лікарів-інтернів та медичне обслуговування іноземних громадян)</t>
    </r>
  </si>
  <si>
    <r>
      <t>кошти орендарів</t>
    </r>
    <r>
      <rPr>
        <i/>
        <sz val="14"/>
        <rFont val="Times New Roman"/>
        <family val="1"/>
        <charset val="204"/>
      </rPr>
      <t xml:space="preserve"> (відшкодування за енергоносії)</t>
    </r>
  </si>
  <si>
    <t>1.3.2</t>
  </si>
  <si>
    <t>1.3.3</t>
  </si>
  <si>
    <t xml:space="preserve">Відрахування на соціальні заходи </t>
  </si>
  <si>
    <t>Матеріальні витрати, усього, в т.ч.:</t>
  </si>
  <si>
    <t>Нарахування амортизації на безоплатно отримані активи</t>
  </si>
  <si>
    <t>інші податки, збори та платежі (профспілкові внески)</t>
  </si>
  <si>
    <t>2.1.1</t>
  </si>
  <si>
    <t>Бюджетне фінансування (кошти ВМТГ)</t>
  </si>
  <si>
    <t xml:space="preserve">Нараховані до сплати податки та збори до Державного бюджету України (податкові платежі) </t>
  </si>
  <si>
    <t>витрати на відрядження (проїзний - поповнення безконтактної неперсоніфікованої смарт - карти на проїзд)</t>
  </si>
  <si>
    <t>утилізація ламп, мед.відходів</t>
  </si>
  <si>
    <t>господарські товари, запчастини</t>
  </si>
  <si>
    <t>Амортизація основних засобів</t>
  </si>
  <si>
    <t>Капітальні інвестиції, усього, у тому числі:</t>
  </si>
  <si>
    <t>Директор КНП "ВМКЛШМД"</t>
  </si>
  <si>
    <t>атестація робочих місць</t>
  </si>
  <si>
    <t>1.1.4</t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</si>
  <si>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</si>
  <si>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</si>
  <si>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</si>
  <si>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</si>
  <si>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</si>
  <si>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</si>
  <si>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</si>
  <si>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</si>
  <si>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паливно-мастильні матеріали</t>
  </si>
  <si>
    <t>3.</t>
  </si>
  <si>
    <t>3.1</t>
  </si>
  <si>
    <t>3.1.1</t>
  </si>
  <si>
    <t>11.</t>
  </si>
  <si>
    <t>11.1</t>
  </si>
  <si>
    <t>предмети, матеріали, обладнання, інвентар (носилки, кліщі)</t>
  </si>
  <si>
    <t>1.2.4</t>
  </si>
  <si>
    <t>1.3.1</t>
  </si>
  <si>
    <t>в дохід бюджету зарплата минулих періодів</t>
  </si>
  <si>
    <t>предмети, матеріали, обладнання, інвентар (принтери, меблі, сервер, акумул.батарея, картриджі)</t>
  </si>
  <si>
    <t>10.1</t>
  </si>
  <si>
    <t>10.1.1</t>
  </si>
  <si>
    <t>оплата за отримання ліцензії, держ.реєстрація статуту</t>
  </si>
  <si>
    <t>предмети, матеріали, обладнання, інвентар (принтери, меблі, сервер, акумул.батарея, картриджі, носилки, кліщі)</t>
  </si>
  <si>
    <t>господарські товари, енергозберігаючі лампочки, картриджі, запчастини</t>
  </si>
  <si>
    <t>-</t>
  </si>
  <si>
    <t>за повідомлення про погодж.тарифу на проходження стажування лік.-інтернів ("Вінницька газета")</t>
  </si>
  <si>
    <t>Олександр ФОМІН</t>
  </si>
  <si>
    <t>Благодійні внески (натура)</t>
  </si>
  <si>
    <t>Благодійні внески (натура)(залишки минулих періодів)</t>
  </si>
  <si>
    <t>добудова головного корпусу КНП "ВМКЛ ШМД" за адресою: м.Вінниця, вул. Київська, 68</t>
  </si>
  <si>
    <t xml:space="preserve">            (підпис)</t>
  </si>
  <si>
    <t>ремонт медичного та іншого обладнання</t>
  </si>
  <si>
    <t>виготовл.і встановлення металопластиков.конструкцій</t>
  </si>
  <si>
    <t>ТО диз.генератора, газового обладн., аварійного освітлення, перев.і випробування пожеж.гідрантів, ел.вимірювання, тех.нагляд за об'єктами, промивка та випробув. сист.опалення, перев.дозоформ.параметри, встановлення камери відеоспостереження, розробка паспортів вентиляції в добудові</t>
  </si>
  <si>
    <t>господарські товари, енергозберігаючі лампочки, миючі засоби</t>
  </si>
  <si>
    <t>Благодійні внески (кошти)</t>
  </si>
  <si>
    <t>Централізоване постачання</t>
  </si>
  <si>
    <t>адвокадські послуги, що стосуються статутної діяльності</t>
  </si>
  <si>
    <t>Відшкодування в бюджет (за скоєння злочину)</t>
  </si>
  <si>
    <t>Інші операційні витрати, усього, у т.ч.:</t>
  </si>
  <si>
    <t>Придбання (виготовлення) основних засобів, усього, у т.ч.:</t>
  </si>
  <si>
    <t>оплата послуг (крім комунальних): ремонт обладнання, поточні рем.та ін.</t>
  </si>
  <si>
    <r>
      <t>Кошти державного бюджету від Національної служби здоров'я України (</t>
    </r>
    <r>
      <rPr>
        <b/>
        <i/>
        <sz val="14"/>
        <rFont val="Times New Roman"/>
        <family val="1"/>
        <charset val="204"/>
      </rPr>
      <t>забезпечення кадрового потенціалу системи охорони здоров'я шляхом організації надання медичної допомоги із залученням лікарів-інтернів)</t>
    </r>
  </si>
  <si>
    <t>(    )</t>
  </si>
  <si>
    <t>система холтерівського моніторування ЕКГ</t>
  </si>
  <si>
    <t>Кошти  бюджету Вінницької міської територіальної громади (ВМТГ) (залишки минулих періодів)</t>
  </si>
  <si>
    <t>8.</t>
  </si>
  <si>
    <t>3.1.2</t>
  </si>
  <si>
    <t>3.1.3</t>
  </si>
  <si>
    <t>11.1.1</t>
  </si>
  <si>
    <t>12.</t>
  </si>
  <si>
    <t>12.1.1</t>
  </si>
  <si>
    <t>14.</t>
  </si>
  <si>
    <t>14.1</t>
  </si>
  <si>
    <t>14.1.1</t>
  </si>
  <si>
    <t>благодійні внески (кошти)</t>
  </si>
  <si>
    <t>централізоване постачання</t>
  </si>
  <si>
    <r>
      <t>кошти державного бюджету від Національної служби здоров'я України (</t>
    </r>
    <r>
      <rPr>
        <i/>
        <sz val="14"/>
        <rFont val="Times New Roman"/>
        <family val="1"/>
        <charset val="204"/>
      </rPr>
      <t>забезпечення кадрового потенціалу системи охорони здоров'я шляхом організації надання медичної допомоги із залученням лікарів-інтернів</t>
    </r>
    <r>
      <rPr>
        <sz val="14"/>
        <rFont val="Times New Roman"/>
        <family val="1"/>
        <charset val="204"/>
      </rPr>
      <t>)</t>
    </r>
  </si>
  <si>
    <t>кошти з відшкодування по нещасним випадкам на виробництві і за скоєння злочину</t>
  </si>
  <si>
    <t>оприбуткування активів від ліквідації</t>
  </si>
  <si>
    <t>обрізка дерев</t>
  </si>
  <si>
    <t>виготовл.і встановл захисної перегородки (КТ)</t>
  </si>
  <si>
    <t>корегування проект.-коштор.документації по об'єкту "Капіт.ремонт приміщень лікарні"</t>
  </si>
  <si>
    <t>комісія банку, послуги митного брокера, короткочасне перебування в зоні митного контролю</t>
  </si>
  <si>
    <t>комісія банку, послуги митного брокера</t>
  </si>
  <si>
    <t>Кошти  бюджету Вінницької міської обєднаної територіальної громади(ВМОТГ) /бюджету Вінницької міської територіальної громади (ВМТГ)</t>
  </si>
  <si>
    <t>Інші витрати:</t>
  </si>
  <si>
    <t>ремонт обладнання, поточні ремонти та ін.</t>
  </si>
  <si>
    <t>медогляд, досл.ІФА</t>
  </si>
  <si>
    <t>виг.і встановл захисної перегородки (КТ)</t>
  </si>
  <si>
    <t>збір та утилізація мед.відходів</t>
  </si>
  <si>
    <t>Інші адміністративні витрати, усього, в т.ч.:</t>
  </si>
  <si>
    <t>короткочасне перебування в зоні митного контролю</t>
  </si>
  <si>
    <t xml:space="preserve">предмети, матеріали, господарські товари, енергозберігаючі лампочки, картриджі, миючі засоби, захисні накладки  на вікна для каб. КТ, монітор </t>
  </si>
  <si>
    <t>система рентгенівська діагн.мобільна МАС D цифрова</t>
  </si>
  <si>
    <t>газоаналізатор крові з можливістю визначення електролітів, глюкози та лактату, у вигляді системи аналізу крові ЕРОС</t>
  </si>
  <si>
    <t>система рентгенівська радіографічна 7200А</t>
  </si>
  <si>
    <t>перфоратор шкіри ПК-107 (дерматом ручний)</t>
  </si>
  <si>
    <t>система отримання чистої води Cristal EX Pure для неорганічних лабораторних методів</t>
  </si>
  <si>
    <t>джерело безпереб.живлен.COVER MZ 100K; шафа акумуляторна 100 Аг-480В;байпасний щит для ДБЖ</t>
  </si>
  <si>
    <t>сист.отрим.чистої води Cristal EX Double Flow для лаборат.неорган.методів аналізу</t>
  </si>
  <si>
    <t>резервуар"Comfort" 60л для зберігання води з детект.рівня та гравітаційним краном відбору</t>
  </si>
  <si>
    <t>сервер HPE ProLiant VicroServer Gen 10 Plus</t>
  </si>
  <si>
    <t>апарати ШВЛ Savina 300</t>
  </si>
  <si>
    <t>монітор пацієнта Vista 120</t>
  </si>
  <si>
    <t>фасадна вивіска</t>
  </si>
  <si>
    <t>апарат ШВЛ CWH-3010 ICU</t>
  </si>
  <si>
    <t>апарат ШВЛ Ventilator S 1500</t>
  </si>
  <si>
    <t>інвазивна штучна вентиляція легень SV 300</t>
  </si>
  <si>
    <t>виг.та вст. тильної сторони вивіски</t>
  </si>
  <si>
    <t>автомобіль Mercedes Benz</t>
  </si>
  <si>
    <t>модульний монітор пацієнта Q 5 (4 шт.)</t>
  </si>
  <si>
    <t>кардіоапарат</t>
  </si>
  <si>
    <t>хірург.лазерLaserscope GreenLight PV Surgical Laser</t>
  </si>
  <si>
    <t>ел.дерматом дисковий ДЕ-717 (2шт.)</t>
  </si>
  <si>
    <t>апарат УЗД</t>
  </si>
  <si>
    <t>система рентген.діагност. С-подібна Garion</t>
  </si>
  <si>
    <t>монітор пацієнта Efficia CM - 12</t>
  </si>
  <si>
    <t>апарат ШВЛ Neoumovent GraphNet TS</t>
  </si>
  <si>
    <t>апарат рентгенографічний пересувний Арман</t>
  </si>
  <si>
    <t>монітор мед.рідкокрис.MDNC-2221</t>
  </si>
  <si>
    <t>вилучення дорогоцінних металів</t>
  </si>
  <si>
    <t>господарські товари, енергозберігаючі лампочки, картриджі, миючі засоби</t>
  </si>
  <si>
    <t>Амортизація інших необоротних активів</t>
  </si>
  <si>
    <t>нейрохірургічний мікроскоп</t>
  </si>
  <si>
    <t>капітальний ремонт, усього, у тому числі:</t>
  </si>
  <si>
    <t>лабораторні дослідження</t>
  </si>
  <si>
    <t>оцінка енергоефективності будівель, ТО системи киснезабезпечення, проект біологічного захисту операційної, розробка конструкцій для портативних аспіраторів, експертиза проект.-кошторис.докум.по об'єкту "кап.рем.мереж водопостачання"</t>
  </si>
  <si>
    <t>оплата послуг (крім комунальних): ремонт обладнання, поточні рем.та ін.; страхування автоцивілки, послуги банку, інформаційні послуги, доставка буд.матеріалів, оренда гастроскопа</t>
  </si>
  <si>
    <t>доплата митних платежів</t>
  </si>
  <si>
    <t>навчання</t>
  </si>
  <si>
    <t>відшкодування в бюджет (за скоєння злочину)</t>
  </si>
  <si>
    <t>комплект обладнання для артроскопічних операцій</t>
  </si>
  <si>
    <t>16.</t>
  </si>
  <si>
    <t>16.1</t>
  </si>
  <si>
    <t>14.1.2</t>
  </si>
  <si>
    <t>14.2</t>
  </si>
  <si>
    <t>14.2.1</t>
  </si>
  <si>
    <t>14.3</t>
  </si>
  <si>
    <t>14.3.1</t>
  </si>
  <si>
    <t>16.1.1</t>
  </si>
  <si>
    <t>відсмоктувач медичний</t>
  </si>
  <si>
    <t>інформ.-консультативні послуги; навчання у сфері цивільного захисту, охорони праці</t>
  </si>
  <si>
    <t>медінфсист. "Д-р Елекс", надання доступу до мережі інтернет, послуги провайдерів</t>
  </si>
  <si>
    <t>Факт 9 місяців 2022 року</t>
  </si>
  <si>
    <r>
      <t xml:space="preserve">витрати, пов'язані з використанням автомобілів </t>
    </r>
    <r>
      <rPr>
        <i/>
        <sz val="14"/>
        <color theme="1"/>
        <rFont val="Times New Roman"/>
        <family val="1"/>
        <charset val="204"/>
      </rPr>
      <t>(бензин, дизельне паливо)</t>
    </r>
  </si>
  <si>
    <t>План 9 місяців 2023 року</t>
  </si>
  <si>
    <t>Факт 9 місяців  2023 року</t>
  </si>
  <si>
    <t>благодійні внески (натуральні показники)</t>
  </si>
  <si>
    <t>відшкодування раніше списаних активів (ревізія)</t>
  </si>
  <si>
    <t>оплата послуг (крім комунальних): ремонт обладнання, поточні рем.та ін.; страхування автоцивілки, послуги банку; устан.відеодомофону, тепл.завіси, заміна приймача шлагбаума, транспорт.-експедитор.послуги</t>
  </si>
  <si>
    <t>обстеження медичних працівників, медогляд, досл.ІФА</t>
  </si>
  <si>
    <t>роботи з оцінки техн.стану, виготовл.тех.паспорту на будівлю лікарні, виг.проект-кошт.док. мережі ел.постач.</t>
  </si>
  <si>
    <t>витрати на відрядження</t>
  </si>
  <si>
    <t>електроплита</t>
  </si>
  <si>
    <t>апарат рентгенографічний діагностичний пересувний Mobile x-ray Mobi Eye 700</t>
  </si>
  <si>
    <t>апарат УЗД з набором датчиків</t>
  </si>
  <si>
    <t>апарат наркозно-дихальний WATO EX-65 Pro</t>
  </si>
  <si>
    <t>ноутбук (3 шт.)</t>
  </si>
  <si>
    <t xml:space="preserve">система рентгенівська ангіографічна стаціонарна Aristone </t>
  </si>
  <si>
    <t>коагулятор</t>
  </si>
  <si>
    <t>автомобіль Volkswagen</t>
  </si>
  <si>
    <t>шлагбаум MOOV 160</t>
  </si>
  <si>
    <t>оглядове гінекологічне ліжко</t>
  </si>
  <si>
    <t>багатофункціональний візок з трьома шухлядами</t>
  </si>
  <si>
    <t>Факт 9 місяців 2023 року</t>
  </si>
  <si>
    <t>капітальний ремонт, усього, у т.ч.:</t>
  </si>
  <si>
    <t>реконструкція мережі електропостачання</t>
  </si>
  <si>
    <t>коригув.та експертиза проектно-коштор.док. кап. ремонт мереж водопостач.; КП "Вінн.БТІ" поточні зміни на нежитл.будинки; сан.-гіг.дослідж.для атестації роб.місць</t>
  </si>
  <si>
    <t>канцтовари, папір</t>
  </si>
  <si>
    <t>запчастини</t>
  </si>
  <si>
    <t>обслуговування системи очищення води</t>
  </si>
  <si>
    <t>Залишок коштів від власних надходжень (стажування лікарів-інтернів та медичне обслуговування іноземних громадян)</t>
  </si>
  <si>
    <t>4.1.2</t>
  </si>
  <si>
    <t xml:space="preserve">кошти  бюджету Вінницької міської обєднаної територіальної громади (ВМОТГ)/бюджету Вінницької міської  територіальної громади (ВМТГ) </t>
  </si>
  <si>
    <t>кошти  бюджету Вінницької міської обєднаної територіальної громади (ВМОТГ)/бюджету Вінницької міської  територіальної громади (ВМТГ)  (залишки минулих періодів)</t>
  </si>
  <si>
    <t>ТО диз.генератора, газового обладн., аварійного освітлення, перев.і випробування пожеж.гідрантів, ел.вимірювання, тех.нагляд за об'єктами, промивка та випробув. сист.опалення, перев. дозоформ. параметри, енергомоніторинг, перезар. вогнегасників, обсл.сист.очищення води</t>
  </si>
  <si>
    <t xml:space="preserve">навчання </t>
  </si>
  <si>
    <t>запасні частини для автомобіля, дизельгенератор</t>
  </si>
  <si>
    <t>монітор мед.рідкокристалічний MDNC-2123</t>
  </si>
  <si>
    <t>серевер ARTLINE для обслуговування МІС "Д-р Елекс"</t>
  </si>
  <si>
    <t>мережеве сховище інформації SYNOLOGY NASDS220+</t>
  </si>
  <si>
    <t>апарат високочастотний електрохірургічний</t>
  </si>
  <si>
    <t>дозиметр клінічний</t>
  </si>
  <si>
    <t>багаторазовий набір для проведення хірургічної артроскопії</t>
  </si>
  <si>
    <t>біполярні коагуляційні щіпці</t>
  </si>
  <si>
    <t>виготовлення та експертиза ПКД на реконструкцію електропостачання під дизельн.генератор</t>
  </si>
  <si>
    <t>капітальний ремонт частини приміщень в рамках проекту EMERGENCY-2020 (під ангіограф), технічний нагляд за об'єктом</t>
  </si>
  <si>
    <t>виготовлення ПКД по кап.ремонту водопостачання</t>
  </si>
  <si>
    <t>монітор мед.рідкокриста-лічний MDNC-2123</t>
  </si>
  <si>
    <t>модернізація ПК (3шт.)</t>
  </si>
  <si>
    <t>технічний нагляд за об'єктом (реконструкція мережі електропостачання)</t>
  </si>
  <si>
    <t>коригування ПКД по кап.ремонту під ангіограф</t>
  </si>
  <si>
    <t>капітальний ремонт мереж господарсько-питного та протипожежного водопостачання в підвальних приміщеннях, виготовлення ПКД по кап.ремонту водопостачання</t>
  </si>
  <si>
    <t>9 місяців 2022 року</t>
  </si>
  <si>
    <t>9 місяців 2023 року</t>
  </si>
  <si>
    <t>Звітний період 9 місяців 2023 року</t>
  </si>
  <si>
    <t xml:space="preserve">ЗВІТ
 про виконання показників фінансового плану Комунального некомерційного підприємства                             "Вінницька міська клінічна лікарня швидкої медичної допомоги"
за 9 місяців 2023 року   </t>
  </si>
  <si>
    <t>План                      9 місяців 2023 року</t>
  </si>
  <si>
    <t>Факт                             9 місяців 2023 року</t>
  </si>
  <si>
    <t>Власні кошти (надходження від відсотків за залишками коштів на депозитних рахунках, благодійні внески)</t>
  </si>
  <si>
    <t>Інші джерела (НСЗУ)</t>
  </si>
  <si>
    <t>концентратор</t>
  </si>
  <si>
    <t>шприцевий насос</t>
  </si>
  <si>
    <t>східці для вправ, клітка для підв.терапії, катал.насос.ноші, отоларингол., апарат вакуумної терапії, холод.шафа</t>
  </si>
  <si>
    <t>монітор пацієнта</t>
  </si>
  <si>
    <t>апарат штучної вентиляції легень</t>
  </si>
  <si>
    <t>автомобіль</t>
  </si>
  <si>
    <t>офт.отоскоп з насадкою</t>
  </si>
  <si>
    <t>відсмоктувач хірург. електричний, модуль автоклав паровий, кисневий концентратор, стимулятор перефиричного нерва, морозильна камера, набір для відкритого перелому нижньої кінцівки</t>
  </si>
  <si>
    <t>трансформатор 1фазний Transformator Noratel 2LT16/0-400/230-54</t>
  </si>
  <si>
    <t>6.2</t>
  </si>
  <si>
    <t>6.2.1</t>
  </si>
  <si>
    <t>8.2</t>
  </si>
  <si>
    <t>8.2.1</t>
  </si>
  <si>
    <t>12.1</t>
  </si>
  <si>
    <t>13.</t>
  </si>
  <si>
    <t>13.1.1</t>
  </si>
  <si>
    <t>10.1.2</t>
  </si>
  <si>
    <t>10.2</t>
  </si>
  <si>
    <t>10.2.1</t>
  </si>
  <si>
    <t>10.3</t>
  </si>
  <si>
    <t>10.3.1</t>
  </si>
  <si>
    <t>15.</t>
  </si>
  <si>
    <t>15.1</t>
  </si>
  <si>
    <t>15.1.1</t>
  </si>
  <si>
    <t>16.2</t>
  </si>
  <si>
    <t>16.2.1</t>
  </si>
  <si>
    <t>відсмоктувач хірург. електричний, модуль автоклав паровий, кисневий концен-тратор, стимулятор перефири-чного нерва, морозильна камера, набір для відкритого перелому нижньої кінцівки</t>
  </si>
  <si>
    <t>дизельгенератор, електроген.установка</t>
  </si>
  <si>
    <t>генератор, генератор потужн.22 кВт з 20 футовим морським контейнером, електрогенераторна установка MXR 5500 потужн.5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</si>
</sst>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* #,##0.00\ _₴_-;\-* #,##0.00\ _₴_-;_-* &quot;-&quot;??\ _₴_-;_-@_-"/>
    <numFmt numFmtId="165" formatCode="_-* #,##0.00_₴_-;\-* #,##0.00_₴_-;_-* &quot;-&quot;??_₴_-;_-@_-"/>
    <numFmt numFmtId="166" formatCode="_-* #,##0.00\ _г_р_н_._-;\-* #,##0.00\ _г_р_н_._-;_-* &quot;-&quot;??\ _г_р_н_._-;_-@_-"/>
    <numFmt numFmtId="167" formatCode="#,##0&quot;р.&quot;;[Red]\-#,##0&quot;р.&quot;"/>
    <numFmt numFmtId="168" formatCode="#,##0.00&quot;р.&quot;;\-#,##0.00&quot;р.&quot;"/>
    <numFmt numFmtId="169" formatCode="_-* #,##0.00_р_._-;\-* #,##0.00_р_._-;_-* &quot;-&quot;??_р_._-;_-@_-"/>
    <numFmt numFmtId="170" formatCode="0.0"/>
    <numFmt numFmtId="171" formatCode="#,##0.0"/>
    <numFmt numFmtId="172" formatCode="###\ ##0.000"/>
    <numFmt numFmtId="173" formatCode="_(&quot;$&quot;* #,##0.00_);_(&quot;$&quot;* \(#,##0.00\);_(&quot;$&quot;* &quot;-&quot;??_);_(@_)"/>
    <numFmt numFmtId="174" formatCode="_(* #,##0_);_(* \(#,##0\);_(* &quot;-&quot;_);_(@_)"/>
    <numFmt numFmtId="175" formatCode="_(* #,##0.00_);_(* \(#,##0.00\);_(* &quot;-&quot;??_);_(@_)"/>
    <numFmt numFmtId="176" formatCode="#,##0.0_ ;[Red]\-#,##0.0\ "/>
    <numFmt numFmtId="177" formatCode="0.0;\(0.0\);\ ;\-"/>
    <numFmt numFmtId="178" formatCode="_(* #,##0_);_(* \(#,##0\);_(* &quot;-&quot;??_);_(@_)"/>
    <numFmt numFmtId="179" formatCode="_(* #,##0.0_);_(* \(#,##0.0\);_(* &quot;-&quot;_);_(@_)"/>
    <numFmt numFmtId="180" formatCode="_-* #,##0.0_₴_-;\-* #,##0.0_₴_-;_-* &quot;-&quot;?_₴_-;_-@_-"/>
    <numFmt numFmtId="181" formatCode="#,##0.000"/>
    <numFmt numFmtId="182" formatCode="_(* #,##0.0_);_(* \(#,##0.0\);_(* &quot;-&quot;??_);_(@_)"/>
    <numFmt numFmtId="183" formatCode="_-* #,##0.0\ _₴_-;\-* #,##0.0\ _₴_-;_-* &quot;-&quot;?\ _₴_-;_-@_-"/>
    <numFmt numFmtId="184" formatCode="#,##0.000_ ;\-#,##0.000\ "/>
    <numFmt numFmtId="185" formatCode="0.0%"/>
  </numFmts>
  <fonts count="9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6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2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3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4" fontId="57" fillId="0" borderId="0" applyFont="0" applyFill="0" applyBorder="0" applyAlignment="0" applyProtection="0"/>
    <xf numFmtId="17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7" fontId="59" fillId="22" borderId="12" applyFill="0" applyBorder="0">
      <alignment horizontal="center" vertical="center" wrapText="1"/>
      <protection locked="0"/>
    </xf>
    <xf numFmtId="172" fontId="60" fillId="0" borderId="0">
      <alignment wrapText="1"/>
    </xf>
    <xf numFmtId="172" fontId="27" fillId="0" borderId="0">
      <alignment wrapText="1"/>
    </xf>
    <xf numFmtId="0" fontId="2" fillId="0" borderId="0"/>
  </cellStyleXfs>
  <cellXfs count="337">
    <xf numFmtId="0" fontId="0" fillId="0" borderId="0" xfId="0"/>
    <xf numFmtId="0" fontId="62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 wrapText="1"/>
    </xf>
    <xf numFmtId="179" fontId="64" fillId="0" borderId="3" xfId="0" applyNumberFormat="1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wrapText="1"/>
    </xf>
    <xf numFmtId="179" fontId="69" fillId="0" borderId="3" xfId="0" applyNumberFormat="1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left" vertical="center" wrapText="1"/>
    </xf>
    <xf numFmtId="179" fontId="70" fillId="0" borderId="3" xfId="0" applyNumberFormat="1" applyFont="1" applyFill="1" applyBorder="1" applyAlignment="1">
      <alignment horizontal="right" vertical="center" wrapText="1"/>
    </xf>
    <xf numFmtId="179" fontId="70" fillId="0" borderId="3" xfId="0" applyNumberFormat="1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0" fontId="69" fillId="0" borderId="15" xfId="0" applyFont="1" applyFill="1" applyBorder="1" applyAlignment="1">
      <alignment horizontal="left" vertical="center" wrapText="1"/>
    </xf>
    <xf numFmtId="0" fontId="63" fillId="0" borderId="3" xfId="0" applyFont="1" applyFill="1" applyBorder="1" applyAlignment="1">
      <alignment horizontal="left" vertical="center" wrapText="1"/>
    </xf>
    <xf numFmtId="179" fontId="64" fillId="0" borderId="3" xfId="0" applyNumberFormat="1" applyFont="1" applyFill="1" applyBorder="1" applyAlignment="1">
      <alignment horizontal="center" vertical="center"/>
    </xf>
    <xf numFmtId="179" fontId="62" fillId="0" borderId="0" xfId="0" applyNumberFormat="1" applyFont="1" applyFill="1" applyBorder="1" applyAlignment="1">
      <alignment vertical="center"/>
    </xf>
    <xf numFmtId="180" fontId="62" fillId="0" borderId="0" xfId="0" applyNumberFormat="1" applyFont="1" applyFill="1" applyBorder="1" applyAlignment="1">
      <alignment vertical="center"/>
    </xf>
    <xf numFmtId="179" fontId="68" fillId="0" borderId="3" xfId="0" applyNumberFormat="1" applyFont="1" applyFill="1" applyBorder="1" applyAlignment="1">
      <alignment horizontal="right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/>
    </xf>
    <xf numFmtId="179" fontId="71" fillId="0" borderId="3" xfId="0" applyNumberFormat="1" applyFont="1" applyFill="1" applyBorder="1" applyAlignment="1">
      <alignment vertical="center" wrapText="1"/>
    </xf>
    <xf numFmtId="179" fontId="63" fillId="0" borderId="3" xfId="0" applyNumberFormat="1" applyFont="1" applyFill="1" applyBorder="1" applyAlignment="1">
      <alignment vertical="center" wrapText="1"/>
    </xf>
    <xf numFmtId="178" fontId="70" fillId="0" borderId="3" xfId="0" applyNumberFormat="1" applyFont="1" applyFill="1" applyBorder="1" applyAlignment="1">
      <alignment horizontal="right" vertical="center" wrapText="1"/>
    </xf>
    <xf numFmtId="0" fontId="78" fillId="0" borderId="0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vertical="center"/>
    </xf>
    <xf numFmtId="170" fontId="78" fillId="0" borderId="0" xfId="0" applyNumberFormat="1" applyFont="1" applyFill="1" applyBorder="1" applyAlignment="1">
      <alignment vertical="center"/>
    </xf>
    <xf numFmtId="18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74" fillId="0" borderId="3" xfId="0" applyFont="1" applyFill="1" applyBorder="1" applyAlignment="1">
      <alignment horizontal="center" vertical="center"/>
    </xf>
    <xf numFmtId="179" fontId="71" fillId="0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vertical="center"/>
    </xf>
    <xf numFmtId="0" fontId="74" fillId="0" borderId="0" xfId="0" applyFont="1" applyFill="1" applyAlignment="1">
      <alignment horizontal="left" vertical="center"/>
    </xf>
    <xf numFmtId="0" fontId="81" fillId="0" borderId="0" xfId="0" applyFont="1" applyFill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 shrinkToFit="1"/>
    </xf>
    <xf numFmtId="0" fontId="68" fillId="0" borderId="3" xfId="182" applyFont="1" applyFill="1" applyBorder="1" applyAlignment="1">
      <alignment vertical="center" wrapText="1"/>
      <protection locked="0"/>
    </xf>
    <xf numFmtId="0" fontId="68" fillId="0" borderId="3" xfId="0" applyFont="1" applyFill="1" applyBorder="1" applyAlignment="1">
      <alignment horizontal="center" vertical="center"/>
    </xf>
    <xf numFmtId="179" fontId="68" fillId="0" borderId="3" xfId="0" applyNumberFormat="1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left" vertical="center" wrapText="1"/>
    </xf>
    <xf numFmtId="179" fontId="80" fillId="0" borderId="3" xfId="0" applyNumberFormat="1" applyFont="1" applyFill="1" applyBorder="1" applyAlignment="1">
      <alignment horizontal="center" vertical="center" wrapText="1"/>
    </xf>
    <xf numFmtId="0" fontId="70" fillId="0" borderId="3" xfId="182" applyFont="1" applyFill="1" applyBorder="1" applyAlignment="1">
      <alignment vertical="center" wrapText="1"/>
      <protection locked="0"/>
    </xf>
    <xf numFmtId="179" fontId="68" fillId="0" borderId="3" xfId="0" applyNumberFormat="1" applyFont="1" applyFill="1" applyBorder="1" applyAlignment="1">
      <alignment vertical="center" wrapText="1"/>
    </xf>
    <xf numFmtId="0" fontId="68" fillId="0" borderId="3" xfId="0" applyFont="1" applyFill="1" applyBorder="1" applyAlignment="1">
      <alignment horizontal="left" vertical="center" wrapText="1"/>
    </xf>
    <xf numFmtId="0" fontId="68" fillId="0" borderId="3" xfId="245" applyFont="1" applyFill="1" applyBorder="1" applyAlignment="1">
      <alignment horizontal="left" vertical="center" wrapText="1"/>
    </xf>
    <xf numFmtId="0" fontId="70" fillId="0" borderId="3" xfId="245" applyFont="1" applyFill="1" applyBorder="1" applyAlignment="1">
      <alignment horizontal="left" vertical="center" wrapText="1"/>
    </xf>
    <xf numFmtId="0" fontId="68" fillId="0" borderId="3" xfId="0" applyFont="1" applyFill="1" applyBorder="1" applyAlignment="1" applyProtection="1">
      <alignment horizontal="left" vertical="center" wrapText="1"/>
      <protection locked="0"/>
    </xf>
    <xf numFmtId="49" fontId="68" fillId="0" borderId="3" xfId="0" applyNumberFormat="1" applyFont="1" applyFill="1" applyBorder="1" applyAlignment="1">
      <alignment horizontal="center" vertical="center"/>
    </xf>
    <xf numFmtId="178" fontId="68" fillId="0" borderId="3" xfId="0" applyNumberFormat="1" applyFont="1" applyFill="1" applyBorder="1" applyAlignment="1">
      <alignment horizontal="center" vertical="center" wrapText="1"/>
    </xf>
    <xf numFmtId="178" fontId="68" fillId="0" borderId="3" xfId="0" applyNumberFormat="1" applyFont="1" applyFill="1" applyBorder="1" applyAlignment="1">
      <alignment horizontal="right" vertical="center" wrapText="1"/>
    </xf>
    <xf numFmtId="178" fontId="70" fillId="0" borderId="3" xfId="0" applyNumberFormat="1" applyFont="1" applyFill="1" applyBorder="1" applyAlignment="1">
      <alignment horizontal="center" vertical="center" wrapText="1"/>
    </xf>
    <xf numFmtId="0" fontId="83" fillId="0" borderId="0" xfId="0" applyFont="1" applyFill="1" applyBorder="1" applyAlignment="1">
      <alignment horizontal="center" wrapText="1"/>
    </xf>
    <xf numFmtId="0" fontId="70" fillId="0" borderId="0" xfId="0" quotePrefix="1" applyFont="1" applyFill="1" applyBorder="1" applyAlignment="1">
      <alignment horizontal="center" vertical="center"/>
    </xf>
    <xf numFmtId="171" fontId="82" fillId="0" borderId="0" xfId="0" applyNumberFormat="1" applyFont="1" applyFill="1" applyBorder="1" applyAlignment="1">
      <alignment vertical="center"/>
    </xf>
    <xf numFmtId="0" fontId="70" fillId="0" borderId="0" xfId="0" applyFont="1" applyFill="1" applyBorder="1" applyAlignment="1">
      <alignment vertical="center"/>
    </xf>
    <xf numFmtId="0" fontId="70" fillId="0" borderId="0" xfId="0" applyFont="1" applyFill="1" applyAlignment="1">
      <alignment horizontal="left" vertical="center"/>
    </xf>
    <xf numFmtId="179" fontId="77" fillId="0" borderId="0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center" vertical="center" wrapText="1"/>
    </xf>
    <xf numFmtId="179" fontId="84" fillId="0" borderId="3" xfId="0" applyNumberFormat="1" applyFont="1" applyFill="1" applyBorder="1" applyAlignment="1">
      <alignment horizontal="center" vertical="center" wrapText="1"/>
    </xf>
    <xf numFmtId="179" fontId="85" fillId="0" borderId="3" xfId="0" applyNumberFormat="1" applyFont="1" applyFill="1" applyBorder="1" applyAlignment="1">
      <alignment horizontal="center" vertical="center" wrapText="1"/>
    </xf>
    <xf numFmtId="179" fontId="89" fillId="0" borderId="3" xfId="0" applyNumberFormat="1" applyFont="1" applyFill="1" applyBorder="1" applyAlignment="1">
      <alignment horizontal="center" vertical="center"/>
    </xf>
    <xf numFmtId="49" fontId="71" fillId="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1" fontId="69" fillId="0" borderId="0" xfId="0" applyNumberFormat="1" applyFont="1" applyFill="1" applyBorder="1" applyAlignment="1">
      <alignment vertical="center"/>
    </xf>
    <xf numFmtId="0" fontId="71" fillId="0" borderId="0" xfId="0" applyFont="1" applyFill="1" applyBorder="1" applyAlignment="1">
      <alignment vertical="center"/>
    </xf>
    <xf numFmtId="0" fontId="64" fillId="0" borderId="3" xfId="0" applyFont="1" applyFill="1" applyBorder="1" applyAlignment="1">
      <alignment horizontal="center" vertical="center" wrapText="1" shrinkToFit="1"/>
    </xf>
    <xf numFmtId="0" fontId="67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vertical="center" wrapText="1"/>
    </xf>
    <xf numFmtId="1" fontId="71" fillId="0" borderId="0" xfId="0" applyNumberFormat="1" applyFont="1" applyFill="1" applyBorder="1" applyAlignment="1">
      <alignment vertical="center"/>
    </xf>
    <xf numFmtId="170" fontId="71" fillId="0" borderId="0" xfId="0" applyNumberFormat="1" applyFont="1" applyFill="1" applyBorder="1" applyAlignment="1">
      <alignment vertical="center"/>
    </xf>
    <xf numFmtId="183" fontId="71" fillId="0" borderId="0" xfId="0" applyNumberFormat="1" applyFont="1" applyFill="1" applyBorder="1" applyAlignment="1">
      <alignment vertical="center"/>
    </xf>
    <xf numFmtId="179" fontId="71" fillId="0" borderId="0" xfId="0" applyNumberFormat="1" applyFont="1" applyFill="1" applyBorder="1" applyAlignment="1">
      <alignment vertical="center"/>
    </xf>
    <xf numFmtId="0" fontId="77" fillId="0" borderId="3" xfId="0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horizontal="right" vertical="center" wrapText="1"/>
    </xf>
    <xf numFmtId="49" fontId="75" fillId="0" borderId="3" xfId="0" applyNumberFormat="1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179" fontId="75" fillId="0" borderId="3" xfId="0" applyNumberFormat="1" applyFont="1" applyFill="1" applyBorder="1" applyAlignment="1">
      <alignment horizontal="center" vertical="center" wrapText="1"/>
    </xf>
    <xf numFmtId="49" fontId="77" fillId="0" borderId="3" xfId="0" applyNumberFormat="1" applyFont="1" applyFill="1" applyBorder="1" applyAlignment="1">
      <alignment horizontal="center" vertical="center" wrapText="1"/>
    </xf>
    <xf numFmtId="49" fontId="69" fillId="0" borderId="3" xfId="0" applyNumberFormat="1" applyFont="1" applyFill="1" applyBorder="1" applyAlignment="1">
      <alignment horizontal="center" vertical="center" wrapText="1"/>
    </xf>
    <xf numFmtId="1" fontId="71" fillId="0" borderId="0" xfId="0" applyNumberFormat="1" applyFont="1" applyFill="1" applyBorder="1" applyAlignment="1">
      <alignment horizontal="right" vertical="center"/>
    </xf>
    <xf numFmtId="179" fontId="69" fillId="0" borderId="0" xfId="0" applyNumberFormat="1" applyFont="1" applyFill="1" applyBorder="1" applyAlignment="1">
      <alignment vertical="center"/>
    </xf>
    <xf numFmtId="171" fontId="71" fillId="0" borderId="0" xfId="0" applyNumberFormat="1" applyFont="1" applyFill="1" applyBorder="1" applyAlignment="1">
      <alignment vertical="center"/>
    </xf>
    <xf numFmtId="170" fontId="69" fillId="0" borderId="0" xfId="0" applyNumberFormat="1" applyFont="1" applyFill="1" applyBorder="1" applyAlignment="1">
      <alignment horizontal="left" vertical="top"/>
    </xf>
    <xf numFmtId="183" fontId="69" fillId="0" borderId="0" xfId="0" applyNumberFormat="1" applyFont="1" applyFill="1" applyBorder="1" applyAlignment="1">
      <alignment vertical="center"/>
    </xf>
    <xf numFmtId="0" fontId="77" fillId="0" borderId="3" xfId="0" applyFont="1" applyFill="1" applyBorder="1" applyAlignment="1">
      <alignment horizontal="center" vertical="center" wrapText="1"/>
    </xf>
    <xf numFmtId="179" fontId="77" fillId="0" borderId="3" xfId="0" applyNumberFormat="1" applyFont="1" applyFill="1" applyBorder="1" applyAlignment="1">
      <alignment horizontal="center" vertical="center" wrapText="1"/>
    </xf>
    <xf numFmtId="164" fontId="69" fillId="0" borderId="0" xfId="0" applyNumberFormat="1" applyFont="1" applyFill="1" applyBorder="1" applyAlignment="1">
      <alignment vertical="center"/>
    </xf>
    <xf numFmtId="0" fontId="69" fillId="0" borderId="0" xfId="0" applyNumberFormat="1" applyFont="1" applyFill="1" applyBorder="1" applyAlignment="1">
      <alignment vertical="center"/>
    </xf>
    <xf numFmtId="0" fontId="69" fillId="0" borderId="3" xfId="353" applyFont="1" applyFill="1" applyBorder="1" applyAlignment="1">
      <alignment horizontal="left" vertical="center" wrapText="1"/>
    </xf>
    <xf numFmtId="181" fontId="69" fillId="0" borderId="3" xfId="353" applyNumberFormat="1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vertical="center" wrapText="1"/>
    </xf>
    <xf numFmtId="0" fontId="77" fillId="0" borderId="3" xfId="0" applyFont="1" applyFill="1" applyBorder="1" applyAlignment="1">
      <alignment vertical="center" wrapText="1"/>
    </xf>
    <xf numFmtId="0" fontId="75" fillId="0" borderId="3" xfId="182" applyFont="1" applyFill="1" applyBorder="1" applyAlignment="1">
      <alignment vertical="center" wrapText="1"/>
      <protection locked="0"/>
    </xf>
    <xf numFmtId="0" fontId="77" fillId="0" borderId="17" xfId="0" applyFont="1" applyFill="1" applyBorder="1" applyAlignment="1">
      <alignment horizontal="center" vertical="center" wrapText="1"/>
    </xf>
    <xf numFmtId="0" fontId="77" fillId="0" borderId="16" xfId="0" applyFont="1" applyFill="1" applyBorder="1" applyAlignment="1">
      <alignment horizontal="left" vertical="center" wrapText="1"/>
    </xf>
    <xf numFmtId="0" fontId="77" fillId="0" borderId="3" xfId="0" applyFont="1" applyFill="1" applyBorder="1" applyAlignment="1">
      <alignment horizontal="left" wrapText="1"/>
    </xf>
    <xf numFmtId="0" fontId="64" fillId="0" borderId="3" xfId="0" applyFont="1" applyFill="1" applyBorder="1" applyAlignment="1">
      <alignment horizontal="left" vertical="center" wrapText="1"/>
    </xf>
    <xf numFmtId="0" fontId="76" fillId="0" borderId="3" xfId="0" applyFont="1" applyFill="1" applyBorder="1" applyAlignment="1">
      <alignment horizontal="center" vertical="center" wrapText="1"/>
    </xf>
    <xf numFmtId="0" fontId="63" fillId="0" borderId="15" xfId="0" applyFont="1" applyFill="1" applyBorder="1" applyAlignment="1">
      <alignment horizontal="left" vertical="center" wrapText="1"/>
    </xf>
    <xf numFmtId="49" fontId="64" fillId="0" borderId="3" xfId="0" applyNumberFormat="1" applyFont="1" applyFill="1" applyBorder="1" applyAlignment="1">
      <alignment horizontal="center" vertical="center" wrapText="1"/>
    </xf>
    <xf numFmtId="49" fontId="76" fillId="0" borderId="3" xfId="0" applyNumberFormat="1" applyFont="1" applyFill="1" applyBorder="1" applyAlignment="1">
      <alignment horizontal="center" vertical="center" wrapText="1"/>
    </xf>
    <xf numFmtId="49" fontId="91" fillId="0" borderId="3" xfId="0" applyNumberFormat="1" applyFont="1" applyFill="1" applyBorder="1" applyAlignment="1">
      <alignment horizontal="center" vertical="center" wrapText="1"/>
    </xf>
    <xf numFmtId="179" fontId="89" fillId="0" borderId="3" xfId="0" applyNumberFormat="1" applyFont="1" applyFill="1" applyBorder="1" applyAlignment="1">
      <alignment horizontal="center" vertical="center" wrapText="1"/>
    </xf>
    <xf numFmtId="179" fontId="92" fillId="0" borderId="3" xfId="0" applyNumberFormat="1" applyFont="1" applyFill="1" applyBorder="1" applyAlignment="1">
      <alignment horizontal="center" vertical="center" wrapText="1"/>
    </xf>
    <xf numFmtId="179" fontId="91" fillId="0" borderId="3" xfId="0" applyNumberFormat="1" applyFont="1" applyFill="1" applyBorder="1" applyAlignment="1">
      <alignment horizontal="center" vertical="center" wrapText="1"/>
    </xf>
    <xf numFmtId="179" fontId="87" fillId="0" borderId="3" xfId="0" applyNumberFormat="1" applyFont="1" applyFill="1" applyBorder="1" applyAlignment="1">
      <alignment horizontal="center" vertical="center" wrapText="1"/>
    </xf>
    <xf numFmtId="179" fontId="88" fillId="0" borderId="3" xfId="0" applyNumberFormat="1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left" vertical="top" wrapText="1"/>
    </xf>
    <xf numFmtId="170" fontId="69" fillId="0" borderId="0" xfId="0" applyNumberFormat="1" applyFont="1" applyFill="1" applyBorder="1" applyAlignment="1">
      <alignment vertical="center"/>
    </xf>
    <xf numFmtId="170" fontId="71" fillId="0" borderId="0" xfId="0" applyNumberFormat="1" applyFont="1" applyFill="1" applyBorder="1" applyAlignment="1">
      <alignment horizontal="center" vertical="center"/>
    </xf>
    <xf numFmtId="170" fontId="69" fillId="0" borderId="0" xfId="0" applyNumberFormat="1" applyFont="1" applyFill="1" applyBorder="1" applyAlignment="1">
      <alignment horizontal="center" vertical="center"/>
    </xf>
    <xf numFmtId="0" fontId="63" fillId="0" borderId="3" xfId="0" applyFont="1" applyFill="1" applyBorder="1" applyAlignment="1">
      <alignment horizontal="center" vertical="center" wrapText="1"/>
    </xf>
    <xf numFmtId="179" fontId="76" fillId="0" borderId="3" xfId="0" applyNumberFormat="1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horizontal="left" vertical="center" wrapText="1"/>
    </xf>
    <xf numFmtId="179" fontId="63" fillId="0" borderId="3" xfId="0" applyNumberFormat="1" applyFont="1" applyFill="1" applyBorder="1" applyAlignment="1">
      <alignment vertical="center"/>
    </xf>
    <xf numFmtId="179" fontId="76" fillId="0" borderId="3" xfId="0" applyNumberFormat="1" applyFont="1" applyFill="1" applyBorder="1" applyAlignment="1">
      <alignment vertical="center"/>
    </xf>
    <xf numFmtId="179" fontId="76" fillId="0" borderId="3" xfId="0" applyNumberFormat="1" applyFont="1" applyFill="1" applyBorder="1" applyAlignment="1">
      <alignment horizontal="center" vertical="center"/>
    </xf>
    <xf numFmtId="179" fontId="92" fillId="0" borderId="3" xfId="0" applyNumberFormat="1" applyFont="1" applyFill="1" applyBorder="1" applyAlignment="1">
      <alignment horizontal="center" vertical="center"/>
    </xf>
    <xf numFmtId="179" fontId="76" fillId="0" borderId="3" xfId="0" applyNumberFormat="1" applyFont="1" applyFill="1" applyBorder="1" applyAlignment="1">
      <alignment vertical="center" wrapText="1"/>
    </xf>
    <xf numFmtId="0" fontId="77" fillId="0" borderId="3" xfId="182" applyFont="1" applyFill="1" applyBorder="1" applyAlignment="1">
      <alignment vertical="center" wrapText="1"/>
      <protection locked="0"/>
    </xf>
    <xf numFmtId="170" fontId="69" fillId="0" borderId="0" xfId="0" applyNumberFormat="1" applyFont="1" applyFill="1" applyBorder="1" applyAlignment="1">
      <alignment horizontal="left" vertical="center"/>
    </xf>
    <xf numFmtId="170" fontId="63" fillId="0" borderId="0" xfId="0" applyNumberFormat="1" applyFont="1" applyFill="1" applyBorder="1" applyAlignment="1">
      <alignment horizontal="center" vertical="center" wrapText="1"/>
    </xf>
    <xf numFmtId="179" fontId="64" fillId="0" borderId="3" xfId="0" applyNumberFormat="1" applyFont="1" applyFill="1" applyBorder="1" applyAlignment="1">
      <alignment horizontal="left" vertical="center" wrapText="1"/>
    </xf>
    <xf numFmtId="170" fontId="64" fillId="0" borderId="0" xfId="0" applyNumberFormat="1" applyFont="1" applyFill="1" applyBorder="1" applyAlignment="1">
      <alignment horizontal="center" vertical="center"/>
    </xf>
    <xf numFmtId="179" fontId="71" fillId="0" borderId="3" xfId="0" applyNumberFormat="1" applyFont="1" applyFill="1" applyBorder="1" applyAlignment="1">
      <alignment horizontal="right" vertical="center" wrapText="1"/>
    </xf>
    <xf numFmtId="179" fontId="69" fillId="0" borderId="3" xfId="0" applyNumberFormat="1" applyFont="1" applyFill="1" applyBorder="1" applyAlignment="1">
      <alignment horizontal="right" vertical="center" wrapText="1"/>
    </xf>
    <xf numFmtId="179" fontId="75" fillId="0" borderId="3" xfId="0" applyNumberFormat="1" applyFont="1" applyFill="1" applyBorder="1" applyAlignment="1">
      <alignment horizontal="right" vertical="center" wrapText="1"/>
    </xf>
    <xf numFmtId="179" fontId="77" fillId="0" borderId="3" xfId="0" applyNumberFormat="1" applyFont="1" applyFill="1" applyBorder="1" applyAlignment="1">
      <alignment horizontal="right" vertical="center" wrapText="1"/>
    </xf>
    <xf numFmtId="171" fontId="69" fillId="0" borderId="3" xfId="0" applyNumberFormat="1" applyFont="1" applyFill="1" applyBorder="1" applyAlignment="1">
      <alignment horizontal="right" vertical="center" wrapText="1" shrinkToFit="1"/>
    </xf>
    <xf numFmtId="171" fontId="69" fillId="0" borderId="3" xfId="0" applyNumberFormat="1" applyFont="1" applyFill="1" applyBorder="1" applyAlignment="1">
      <alignment horizontal="right" vertical="center" wrapText="1"/>
    </xf>
    <xf numFmtId="171" fontId="77" fillId="0" borderId="3" xfId="0" applyNumberFormat="1" applyFont="1" applyFill="1" applyBorder="1" applyAlignment="1">
      <alignment horizontal="right" vertical="center" wrapText="1"/>
    </xf>
    <xf numFmtId="179" fontId="77" fillId="0" borderId="3" xfId="0" applyNumberFormat="1" applyFont="1" applyFill="1" applyBorder="1" applyAlignment="1">
      <alignment horizontal="right" vertical="center" wrapText="1" shrinkToFit="1"/>
    </xf>
    <xf numFmtId="179" fontId="69" fillId="0" borderId="3" xfId="0" applyNumberFormat="1" applyFont="1" applyFill="1" applyBorder="1" applyAlignment="1">
      <alignment horizontal="right" vertical="center" wrapText="1" shrinkToFit="1"/>
    </xf>
    <xf numFmtId="171" fontId="69" fillId="0" borderId="3" xfId="0" applyNumberFormat="1" applyFont="1" applyFill="1" applyBorder="1" applyAlignment="1">
      <alignment horizontal="center" vertical="center"/>
    </xf>
    <xf numFmtId="171" fontId="91" fillId="0" borderId="3" xfId="0" applyNumberFormat="1" applyFont="1" applyFill="1" applyBorder="1" applyAlignment="1">
      <alignment horizontal="right" wrapText="1"/>
    </xf>
    <xf numFmtId="179" fontId="64" fillId="0" borderId="3" xfId="0" applyNumberFormat="1" applyFont="1" applyFill="1" applyBorder="1" applyAlignment="1">
      <alignment horizontal="right" vertical="center" wrapText="1"/>
    </xf>
    <xf numFmtId="171" fontId="71" fillId="0" borderId="3" xfId="0" applyNumberFormat="1" applyFont="1" applyFill="1" applyBorder="1" applyAlignment="1">
      <alignment horizontal="right" vertical="center" wrapText="1"/>
    </xf>
    <xf numFmtId="171" fontId="75" fillId="0" borderId="3" xfId="0" applyNumberFormat="1" applyFont="1" applyFill="1" applyBorder="1" applyAlignment="1">
      <alignment horizontal="right" vertical="center" wrapText="1"/>
    </xf>
    <xf numFmtId="179" fontId="75" fillId="0" borderId="3" xfId="0" applyNumberFormat="1" applyFont="1" applyFill="1" applyBorder="1" applyAlignment="1">
      <alignment vertical="center" wrapText="1"/>
    </xf>
    <xf numFmtId="179" fontId="77" fillId="0" borderId="3" xfId="0" applyNumberFormat="1" applyFont="1" applyFill="1" applyBorder="1" applyAlignment="1">
      <alignment vertical="center" wrapText="1"/>
    </xf>
    <xf numFmtId="179" fontId="77" fillId="0" borderId="15" xfId="0" applyNumberFormat="1" applyFont="1" applyFill="1" applyBorder="1" applyAlignment="1">
      <alignment horizontal="right" vertical="center" wrapText="1"/>
    </xf>
    <xf numFmtId="179" fontId="91" fillId="0" borderId="3" xfId="0" applyNumberFormat="1" applyFont="1" applyFill="1" applyBorder="1" applyAlignment="1">
      <alignment horizontal="right" vertical="center" wrapText="1"/>
    </xf>
    <xf numFmtId="0" fontId="74" fillId="0" borderId="0" xfId="0" applyFont="1" applyFill="1" applyAlignment="1">
      <alignment horizontal="center" vertical="center"/>
    </xf>
    <xf numFmtId="171" fontId="70" fillId="0" borderId="0" xfId="0" applyNumberFormat="1" applyFont="1" applyFill="1" applyBorder="1" applyAlignment="1">
      <alignment wrapText="1"/>
    </xf>
    <xf numFmtId="179" fontId="62" fillId="0" borderId="3" xfId="0" applyNumberFormat="1" applyFont="1" applyFill="1" applyBorder="1" applyAlignment="1">
      <alignment horizontal="left" vertical="center" wrapText="1"/>
    </xf>
    <xf numFmtId="0" fontId="91" fillId="0" borderId="3" xfId="0" applyFont="1" applyFill="1" applyBorder="1" applyAlignment="1">
      <alignment horizontal="left" vertical="center" wrapText="1"/>
    </xf>
    <xf numFmtId="179" fontId="65" fillId="0" borderId="3" xfId="0" applyNumberFormat="1" applyFont="1" applyFill="1" applyBorder="1" applyAlignment="1">
      <alignment horizontal="center" vertical="center" wrapText="1"/>
    </xf>
    <xf numFmtId="179" fontId="91" fillId="0" borderId="3" xfId="0" applyNumberFormat="1" applyFont="1" applyFill="1" applyBorder="1" applyAlignment="1">
      <alignment horizontal="center" vertical="center"/>
    </xf>
    <xf numFmtId="179" fontId="88" fillId="0" borderId="3" xfId="0" applyNumberFormat="1" applyFont="1" applyFill="1" applyBorder="1" applyAlignment="1">
      <alignment vertical="center"/>
    </xf>
    <xf numFmtId="1" fontId="64" fillId="0" borderId="3" xfId="0" applyNumberFormat="1" applyFont="1" applyFill="1" applyBorder="1" applyAlignment="1">
      <alignment horizontal="center" vertical="center" wrapText="1"/>
    </xf>
    <xf numFmtId="0" fontId="64" fillId="0" borderId="0" xfId="0" applyFont="1" applyFill="1" applyAlignment="1">
      <alignment horizontal="center" vertical="center"/>
    </xf>
    <xf numFmtId="0" fontId="63" fillId="0" borderId="0" xfId="0" applyFont="1" applyFill="1" applyBorder="1" applyAlignment="1">
      <alignment horizontal="left" vertical="center"/>
    </xf>
    <xf numFmtId="0" fontId="64" fillId="0" borderId="13" xfId="0" applyFont="1" applyFill="1" applyBorder="1" applyAlignment="1">
      <alignment vertical="center"/>
    </xf>
    <xf numFmtId="0" fontId="64" fillId="0" borderId="0" xfId="0" applyFont="1" applyFill="1" applyAlignment="1">
      <alignment vertical="center"/>
    </xf>
    <xf numFmtId="0" fontId="64" fillId="0" borderId="0" xfId="0" applyFont="1" applyFill="1" applyAlignment="1">
      <alignment horizontal="right" vertical="center"/>
    </xf>
    <xf numFmtId="179" fontId="87" fillId="0" borderId="3" xfId="0" applyNumberFormat="1" applyFont="1" applyFill="1" applyBorder="1" applyAlignment="1">
      <alignment vertical="center"/>
    </xf>
    <xf numFmtId="179" fontId="64" fillId="0" borderId="3" xfId="0" applyNumberFormat="1" applyFont="1" applyFill="1" applyBorder="1" applyAlignment="1">
      <alignment vertical="center"/>
    </xf>
    <xf numFmtId="179" fontId="71" fillId="0" borderId="3" xfId="0" applyNumberFormat="1" applyFont="1" applyFill="1" applyBorder="1" applyAlignment="1">
      <alignment vertical="center"/>
    </xf>
    <xf numFmtId="0" fontId="64" fillId="0" borderId="0" xfId="0" applyFont="1" applyFill="1" applyAlignment="1"/>
    <xf numFmtId="0" fontId="72" fillId="0" borderId="0" xfId="0" applyFont="1" applyFill="1" applyBorder="1" applyAlignment="1">
      <alignment horizontal="center"/>
    </xf>
    <xf numFmtId="0" fontId="91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vertical="center" wrapText="1" shrinkToFit="1"/>
    </xf>
    <xf numFmtId="171" fontId="64" fillId="0" borderId="3" xfId="0" applyNumberFormat="1" applyFont="1" applyFill="1" applyBorder="1" applyAlignment="1">
      <alignment horizontal="right" wrapText="1"/>
    </xf>
    <xf numFmtId="0" fontId="71" fillId="0" borderId="3" xfId="0" applyFont="1" applyFill="1" applyBorder="1" applyAlignment="1">
      <alignment vertical="center" wrapText="1"/>
    </xf>
    <xf numFmtId="0" fontId="71" fillId="0" borderId="3" xfId="0" applyFont="1" applyFill="1" applyBorder="1" applyAlignment="1">
      <alignment horizontal="right" vertical="center" wrapText="1"/>
    </xf>
    <xf numFmtId="0" fontId="64" fillId="0" borderId="15" xfId="0" applyFont="1" applyFill="1" applyBorder="1" applyAlignment="1">
      <alignment horizontal="left" vertical="center" wrapText="1"/>
    </xf>
    <xf numFmtId="49" fontId="63" fillId="0" borderId="3" xfId="0" applyNumberFormat="1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left" vertical="center" wrapText="1"/>
    </xf>
    <xf numFmtId="0" fontId="71" fillId="0" borderId="16" xfId="0" applyFont="1" applyFill="1" applyBorder="1" applyAlignment="1">
      <alignment horizontal="left" vertical="center" wrapText="1"/>
    </xf>
    <xf numFmtId="179" fontId="63" fillId="0" borderId="3" xfId="0" applyNumberFormat="1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/>
    </xf>
    <xf numFmtId="4" fontId="64" fillId="0" borderId="3" xfId="0" applyNumberFormat="1" applyFont="1" applyFill="1" applyBorder="1" applyAlignment="1">
      <alignment wrapText="1"/>
    </xf>
    <xf numFmtId="4" fontId="63" fillId="0" borderId="3" xfId="0" applyNumberFormat="1" applyFont="1" applyFill="1" applyBorder="1" applyAlignment="1">
      <alignment vertical="center" wrapText="1"/>
    </xf>
    <xf numFmtId="179" fontId="63" fillId="0" borderId="3" xfId="0" applyNumberFormat="1" applyFont="1" applyFill="1" applyBorder="1" applyAlignment="1">
      <alignment horizontal="right" vertical="center" wrapText="1"/>
    </xf>
    <xf numFmtId="4" fontId="91" fillId="0" borderId="3" xfId="0" applyNumberFormat="1" applyFont="1" applyFill="1" applyBorder="1" applyAlignment="1">
      <alignment vertical="center" wrapText="1"/>
    </xf>
    <xf numFmtId="4" fontId="91" fillId="0" borderId="3" xfId="0" applyNumberFormat="1" applyFont="1" applyFill="1" applyBorder="1" applyAlignment="1">
      <alignment wrapText="1"/>
    </xf>
    <xf numFmtId="4" fontId="64" fillId="0" borderId="3" xfId="0" applyNumberFormat="1" applyFont="1" applyFill="1" applyBorder="1" applyAlignment="1">
      <alignment vertical="center" wrapText="1"/>
    </xf>
    <xf numFmtId="0" fontId="71" fillId="0" borderId="3" xfId="0" applyFont="1" applyFill="1" applyBorder="1" applyAlignment="1">
      <alignment horizontal="left" wrapText="1"/>
    </xf>
    <xf numFmtId="184" fontId="62" fillId="0" borderId="0" xfId="0" applyNumberFormat="1" applyFont="1" applyFill="1" applyBorder="1" applyAlignment="1">
      <alignment vertical="center"/>
    </xf>
    <xf numFmtId="0" fontId="66" fillId="0" borderId="3" xfId="0" applyFont="1" applyFill="1" applyBorder="1" applyAlignment="1">
      <alignment horizontal="center"/>
    </xf>
    <xf numFmtId="0" fontId="72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/>
    </xf>
    <xf numFmtId="0" fontId="64" fillId="0" borderId="3" xfId="0" applyFont="1" applyFill="1" applyBorder="1" applyAlignment="1">
      <alignment vertical="center"/>
    </xf>
    <xf numFmtId="170" fontId="64" fillId="0" borderId="3" xfId="0" applyNumberFormat="1" applyFont="1" applyFill="1" applyBorder="1" applyAlignment="1">
      <alignment horizontal="center" vertical="center"/>
    </xf>
    <xf numFmtId="9" fontId="62" fillId="0" borderId="0" xfId="0" applyNumberFormat="1" applyFont="1" applyFill="1" applyBorder="1" applyAlignment="1">
      <alignment vertical="center"/>
    </xf>
    <xf numFmtId="185" fontId="62" fillId="0" borderId="0" xfId="0" applyNumberFormat="1" applyFont="1" applyFill="1" applyBorder="1" applyAlignment="1">
      <alignment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0" fontId="68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 vertical="center"/>
    </xf>
    <xf numFmtId="0" fontId="64" fillId="0" borderId="17" xfId="0" applyFont="1" applyFill="1" applyBorder="1" applyAlignment="1">
      <alignment horizontal="center" vertical="center" wrapText="1"/>
    </xf>
    <xf numFmtId="0" fontId="64" fillId="0" borderId="15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vertical="center"/>
    </xf>
    <xf numFmtId="179" fontId="91" fillId="0" borderId="3" xfId="0" applyNumberFormat="1" applyFont="1" applyFill="1" applyBorder="1" applyAlignment="1">
      <alignment vertical="center"/>
    </xf>
    <xf numFmtId="0" fontId="91" fillId="0" borderId="0" xfId="0" applyFont="1" applyFill="1" applyAlignment="1">
      <alignment vertical="center"/>
    </xf>
    <xf numFmtId="0" fontId="64" fillId="0" borderId="13" xfId="0" applyFont="1" applyFill="1" applyBorder="1" applyAlignment="1">
      <alignment horizontal="left" vertical="center"/>
    </xf>
    <xf numFmtId="0" fontId="64" fillId="0" borderId="0" xfId="0" applyFont="1" applyFill="1" applyAlignment="1">
      <alignment horizontal="left" vertical="center"/>
    </xf>
    <xf numFmtId="0" fontId="76" fillId="0" borderId="0" xfId="0" applyFont="1" applyFill="1" applyAlignment="1">
      <alignment horizontal="left" vertical="center"/>
    </xf>
    <xf numFmtId="171" fontId="64" fillId="0" borderId="3" xfId="0" applyNumberFormat="1" applyFont="1" applyFill="1" applyBorder="1" applyAlignment="1">
      <alignment horizontal="right" vertical="center" wrapText="1"/>
    </xf>
    <xf numFmtId="0" fontId="64" fillId="0" borderId="3" xfId="0" applyFont="1" applyFill="1" applyBorder="1" applyAlignment="1">
      <alignment vertical="center" wrapText="1"/>
    </xf>
    <xf numFmtId="179" fontId="91" fillId="0" borderId="0" xfId="0" applyNumberFormat="1" applyFont="1" applyFill="1" applyBorder="1" applyAlignment="1">
      <alignment horizontal="right" vertical="center" wrapText="1"/>
    </xf>
    <xf numFmtId="182" fontId="64" fillId="0" borderId="3" xfId="0" applyNumberFormat="1" applyFont="1" applyFill="1" applyBorder="1" applyAlignment="1">
      <alignment horizontal="right" vertical="center" wrapText="1"/>
    </xf>
    <xf numFmtId="171" fontId="69" fillId="0" borderId="0" xfId="0" applyNumberFormat="1" applyFont="1" applyFill="1" applyBorder="1" applyAlignment="1">
      <alignment horizontal="right" vertical="center" wrapText="1"/>
    </xf>
    <xf numFmtId="0" fontId="63" fillId="0" borderId="0" xfId="0" applyFont="1" applyFill="1" applyBorder="1" applyAlignment="1">
      <alignment vertical="center"/>
    </xf>
    <xf numFmtId="180" fontId="71" fillId="0" borderId="3" xfId="0" applyNumberFormat="1" applyFont="1" applyFill="1" applyBorder="1" applyAlignment="1">
      <alignment horizontal="right" vertical="center" wrapText="1"/>
    </xf>
    <xf numFmtId="179" fontId="63" fillId="0" borderId="3" xfId="0" applyNumberFormat="1" applyFont="1" applyFill="1" applyBorder="1" applyAlignment="1">
      <alignment horizontal="center" vertical="center"/>
    </xf>
    <xf numFmtId="171" fontId="64" fillId="0" borderId="0" xfId="0" applyNumberFormat="1" applyFont="1" applyFill="1" applyBorder="1" applyAlignment="1">
      <alignment vertical="center"/>
    </xf>
    <xf numFmtId="182" fontId="74" fillId="0" borderId="3" xfId="0" applyNumberFormat="1" applyFont="1" applyFill="1" applyBorder="1" applyAlignment="1">
      <alignment horizontal="right" vertical="center" wrapText="1"/>
    </xf>
    <xf numFmtId="0" fontId="64" fillId="0" borderId="0" xfId="0" quotePrefix="1" applyFont="1" applyFill="1" applyBorder="1" applyAlignment="1">
      <alignment vertical="center"/>
    </xf>
    <xf numFmtId="0" fontId="69" fillId="0" borderId="15" xfId="0" applyFont="1" applyFill="1" applyBorder="1" applyAlignment="1">
      <alignment horizontal="center" vertical="center"/>
    </xf>
    <xf numFmtId="179" fontId="87" fillId="0" borderId="3" xfId="0" applyNumberFormat="1" applyFont="1" applyFill="1" applyBorder="1" applyAlignment="1">
      <alignment horizontal="center" vertical="center"/>
    </xf>
    <xf numFmtId="182" fontId="69" fillId="0" borderId="3" xfId="0" applyNumberFormat="1" applyFont="1" applyFill="1" applyBorder="1" applyAlignment="1">
      <alignment horizontal="right" vertical="center" wrapText="1"/>
    </xf>
    <xf numFmtId="0" fontId="64" fillId="0" borderId="16" xfId="0" applyFont="1" applyFill="1" applyBorder="1" applyAlignment="1">
      <alignment horizontal="left" vertical="center" wrapText="1"/>
    </xf>
    <xf numFmtId="182" fontId="69" fillId="0" borderId="3" xfId="0" applyNumberFormat="1" applyFont="1" applyFill="1" applyBorder="1" applyAlignment="1">
      <alignment horizontal="right" vertical="center"/>
    </xf>
    <xf numFmtId="0" fontId="79" fillId="0" borderId="0" xfId="0" applyFont="1" applyFill="1" applyBorder="1" applyAlignment="1">
      <alignment vertical="center"/>
    </xf>
    <xf numFmtId="0" fontId="69" fillId="0" borderId="15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right" vertical="center"/>
    </xf>
    <xf numFmtId="182" fontId="69" fillId="0" borderId="3" xfId="0" applyNumberFormat="1" applyFont="1" applyFill="1" applyBorder="1" applyAlignment="1">
      <alignment horizontal="right" vertical="center" wrapText="1" shrinkToFit="1"/>
    </xf>
    <xf numFmtId="0" fontId="71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0" fontId="71" fillId="0" borderId="3" xfId="0" quotePrefix="1" applyFont="1" applyFill="1" applyBorder="1" applyAlignment="1">
      <alignment horizontal="center" vertical="center"/>
    </xf>
    <xf numFmtId="171" fontId="71" fillId="0" borderId="3" xfId="0" applyNumberFormat="1" applyFont="1" applyFill="1" applyBorder="1" applyAlignment="1">
      <alignment horizontal="right" vertical="center" wrapText="1" shrinkToFit="1"/>
    </xf>
    <xf numFmtId="0" fontId="71" fillId="0" borderId="3" xfId="0" applyFont="1" applyFill="1" applyBorder="1" applyAlignment="1">
      <alignment vertical="center"/>
    </xf>
    <xf numFmtId="0" fontId="71" fillId="0" borderId="15" xfId="0" applyFont="1" applyFill="1" applyBorder="1" applyAlignment="1">
      <alignment vertical="center" wrapText="1"/>
    </xf>
    <xf numFmtId="0" fontId="69" fillId="0" borderId="15" xfId="0" applyFont="1" applyFill="1" applyBorder="1" applyAlignment="1">
      <alignment vertical="center" wrapText="1"/>
    </xf>
    <xf numFmtId="0" fontId="77" fillId="0" borderId="15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/>
    </xf>
    <xf numFmtId="0" fontId="69" fillId="0" borderId="18" xfId="0" applyFont="1" applyFill="1" applyBorder="1" applyAlignment="1">
      <alignment horizontal="center"/>
    </xf>
    <xf numFmtId="0" fontId="75" fillId="0" borderId="3" xfId="0" quotePrefix="1" applyFont="1" applyFill="1" applyBorder="1" applyAlignment="1">
      <alignment horizontal="center" vertical="center"/>
    </xf>
    <xf numFmtId="171" fontId="75" fillId="0" borderId="3" xfId="0" applyNumberFormat="1" applyFont="1" applyFill="1" applyBorder="1" applyAlignment="1">
      <alignment horizontal="center" vertical="center" wrapText="1"/>
    </xf>
    <xf numFmtId="171" fontId="69" fillId="0" borderId="3" xfId="0" applyNumberFormat="1" applyFont="1" applyFill="1" applyBorder="1" applyAlignment="1">
      <alignment horizontal="center" vertical="center" wrapText="1"/>
    </xf>
    <xf numFmtId="171" fontId="64" fillId="0" borderId="3" xfId="0" applyNumberFormat="1" applyFont="1" applyFill="1" applyBorder="1" applyAlignment="1">
      <alignment horizontal="center" vertical="center" wrapText="1"/>
    </xf>
    <xf numFmtId="171" fontId="64" fillId="0" borderId="3" xfId="0" applyNumberFormat="1" applyFont="1" applyFill="1" applyBorder="1" applyAlignment="1">
      <alignment horizontal="center"/>
    </xf>
    <xf numFmtId="171" fontId="64" fillId="0" borderId="3" xfId="0" applyNumberFormat="1" applyFont="1" applyFill="1" applyBorder="1" applyAlignment="1">
      <alignment horizontal="center" vertical="center"/>
    </xf>
    <xf numFmtId="0" fontId="69" fillId="0" borderId="3" xfId="0" applyNumberFormat="1" applyFont="1" applyFill="1" applyBorder="1" applyAlignment="1">
      <alignment horizontal="left" vertical="center" wrapText="1"/>
    </xf>
    <xf numFmtId="4" fontId="76" fillId="0" borderId="3" xfId="0" applyNumberFormat="1" applyFont="1" applyFill="1" applyBorder="1" applyAlignment="1">
      <alignment wrapText="1"/>
    </xf>
    <xf numFmtId="0" fontId="75" fillId="0" borderId="3" xfId="0" applyFont="1" applyFill="1" applyBorder="1" applyAlignment="1">
      <alignment horizontal="center" vertical="center"/>
    </xf>
    <xf numFmtId="171" fontId="76" fillId="0" borderId="3" xfId="0" applyNumberFormat="1" applyFont="1" applyFill="1" applyBorder="1" applyAlignment="1">
      <alignment horizontal="center" vertical="center"/>
    </xf>
    <xf numFmtId="171" fontId="77" fillId="0" borderId="3" xfId="0" applyNumberFormat="1" applyFont="1" applyFill="1" applyBorder="1" applyAlignment="1">
      <alignment horizontal="center" vertical="center" wrapText="1"/>
    </xf>
    <xf numFmtId="183" fontId="75" fillId="0" borderId="3" xfId="0" applyNumberFormat="1" applyFont="1" applyFill="1" applyBorder="1" applyAlignment="1">
      <alignment horizontal="center" vertical="center"/>
    </xf>
    <xf numFmtId="4" fontId="69" fillId="0" borderId="3" xfId="0" applyNumberFormat="1" applyFont="1" applyFill="1" applyBorder="1" applyAlignment="1">
      <alignment horizontal="left" vertical="center" wrapText="1"/>
    </xf>
    <xf numFmtId="0" fontId="69" fillId="0" borderId="3" xfId="0" quotePrefix="1" applyFont="1" applyFill="1" applyBorder="1" applyAlignment="1">
      <alignment horizontal="center" vertical="center"/>
    </xf>
    <xf numFmtId="4" fontId="76" fillId="0" borderId="3" xfId="0" applyNumberFormat="1" applyFont="1" applyFill="1" applyBorder="1" applyAlignment="1">
      <alignment horizontal="left" vertical="center" wrapText="1"/>
    </xf>
    <xf numFmtId="0" fontId="64" fillId="0" borderId="0" xfId="0" applyFont="1" applyFill="1" applyAlignment="1">
      <alignment horizontal="left" vertical="center" wrapText="1" shrinkToFit="1"/>
    </xf>
    <xf numFmtId="179" fontId="68" fillId="0" borderId="3" xfId="0" applyNumberFormat="1" applyFont="1" applyFill="1" applyBorder="1" applyAlignment="1">
      <alignment vertical="center"/>
    </xf>
    <xf numFmtId="0" fontId="70" fillId="0" borderId="3" xfId="0" applyFont="1" applyFill="1" applyBorder="1" applyAlignment="1">
      <alignment vertical="center"/>
    </xf>
    <xf numFmtId="182" fontId="68" fillId="0" borderId="3" xfId="0" applyNumberFormat="1" applyFont="1" applyFill="1" applyBorder="1" applyAlignment="1">
      <alignment horizontal="right" vertical="center" wrapText="1"/>
    </xf>
    <xf numFmtId="178" fontId="62" fillId="0" borderId="3" xfId="0" applyNumberFormat="1" applyFont="1" applyFill="1" applyBorder="1" applyAlignment="1">
      <alignment horizontal="center" vertical="center" wrapText="1"/>
    </xf>
    <xf numFmtId="0" fontId="71" fillId="29" borderId="0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 wrapText="1"/>
    </xf>
    <xf numFmtId="179" fontId="71" fillId="29" borderId="3" xfId="0" applyNumberFormat="1" applyFont="1" applyFill="1" applyBorder="1" applyAlignment="1">
      <alignment horizontal="right" vertical="center" wrapText="1"/>
    </xf>
    <xf numFmtId="179" fontId="69" fillId="29" borderId="3" xfId="0" applyNumberFormat="1" applyFont="1" applyFill="1" applyBorder="1" applyAlignment="1">
      <alignment horizontal="right" vertical="center" wrapText="1"/>
    </xf>
    <xf numFmtId="179" fontId="75" fillId="29" borderId="3" xfId="0" applyNumberFormat="1" applyFont="1" applyFill="1" applyBorder="1" applyAlignment="1">
      <alignment horizontal="right" vertical="center" wrapText="1"/>
    </xf>
    <xf numFmtId="179" fontId="77" fillId="29" borderId="3" xfId="0" applyNumberFormat="1" applyFont="1" applyFill="1" applyBorder="1" applyAlignment="1">
      <alignment horizontal="right" vertical="center" wrapText="1"/>
    </xf>
    <xf numFmtId="179" fontId="64" fillId="29" borderId="3" xfId="0" applyNumberFormat="1" applyFont="1" applyFill="1" applyBorder="1" applyAlignment="1">
      <alignment horizontal="right" vertical="center" wrapText="1"/>
    </xf>
    <xf numFmtId="179" fontId="91" fillId="29" borderId="3" xfId="0" applyNumberFormat="1" applyFont="1" applyFill="1" applyBorder="1" applyAlignment="1">
      <alignment horizontal="right" vertical="center" wrapText="1"/>
    </xf>
    <xf numFmtId="171" fontId="64" fillId="29" borderId="3" xfId="0" applyNumberFormat="1" applyFont="1" applyFill="1" applyBorder="1" applyAlignment="1">
      <alignment horizontal="right" vertical="center" wrapText="1"/>
    </xf>
    <xf numFmtId="179" fontId="77" fillId="29" borderId="3" xfId="0" applyNumberFormat="1" applyFont="1" applyFill="1" applyBorder="1" applyAlignment="1">
      <alignment horizontal="right" vertical="center" wrapText="1" shrinkToFit="1"/>
    </xf>
    <xf numFmtId="171" fontId="71" fillId="29" borderId="3" xfId="0" applyNumberFormat="1" applyFont="1" applyFill="1" applyBorder="1" applyAlignment="1">
      <alignment horizontal="right" vertical="center" wrapText="1"/>
    </xf>
    <xf numFmtId="171" fontId="75" fillId="29" borderId="3" xfId="0" applyNumberFormat="1" applyFont="1" applyFill="1" applyBorder="1" applyAlignment="1">
      <alignment horizontal="right" vertical="center" wrapText="1"/>
    </xf>
    <xf numFmtId="179" fontId="63" fillId="29" borderId="3" xfId="0" applyNumberFormat="1" applyFont="1" applyFill="1" applyBorder="1" applyAlignment="1">
      <alignment horizontal="right" vertical="center" wrapText="1"/>
    </xf>
    <xf numFmtId="179" fontId="71" fillId="29" borderId="3" xfId="0" applyNumberFormat="1" applyFont="1" applyFill="1" applyBorder="1" applyAlignment="1">
      <alignment vertical="center" wrapText="1"/>
    </xf>
    <xf numFmtId="179" fontId="75" fillId="29" borderId="3" xfId="0" applyNumberFormat="1" applyFont="1" applyFill="1" applyBorder="1" applyAlignment="1">
      <alignment vertical="center" wrapText="1"/>
    </xf>
    <xf numFmtId="179" fontId="77" fillId="29" borderId="3" xfId="0" applyNumberFormat="1" applyFont="1" applyFill="1" applyBorder="1" applyAlignment="1">
      <alignment vertical="center" wrapText="1"/>
    </xf>
    <xf numFmtId="179" fontId="77" fillId="29" borderId="15" xfId="0" applyNumberFormat="1" applyFont="1" applyFill="1" applyBorder="1" applyAlignment="1">
      <alignment horizontal="right" vertical="center" wrapText="1"/>
    </xf>
    <xf numFmtId="171" fontId="69" fillId="29" borderId="0" xfId="0" applyNumberFormat="1" applyFont="1" applyFill="1" applyBorder="1" applyAlignment="1">
      <alignment horizontal="left" wrapText="1"/>
    </xf>
    <xf numFmtId="0" fontId="69" fillId="29" borderId="0" xfId="0" applyFont="1" applyFill="1" applyBorder="1" applyAlignment="1">
      <alignment horizontal="left" vertical="center" wrapText="1"/>
    </xf>
    <xf numFmtId="0" fontId="69" fillId="29" borderId="0" xfId="0" applyFont="1" applyFill="1" applyBorder="1" applyAlignment="1">
      <alignment horizontal="center" vertical="center"/>
    </xf>
    <xf numFmtId="0" fontId="69" fillId="29" borderId="0" xfId="0" applyFont="1" applyFill="1" applyBorder="1" applyAlignment="1">
      <alignment vertical="center"/>
    </xf>
    <xf numFmtId="183" fontId="64" fillId="0" borderId="0" xfId="0" applyNumberFormat="1" applyFont="1" applyFill="1" applyBorder="1" applyAlignment="1">
      <alignment vertical="center"/>
    </xf>
    <xf numFmtId="170" fontId="71" fillId="0" borderId="0" xfId="0" applyNumberFormat="1" applyFont="1" applyFill="1" applyBorder="1" applyAlignment="1">
      <alignment horizontal="center" vertical="center" wrapText="1"/>
    </xf>
    <xf numFmtId="170" fontId="64" fillId="0" borderId="3" xfId="0" applyNumberFormat="1" applyFont="1" applyFill="1" applyBorder="1" applyAlignment="1">
      <alignment horizontal="center" vertical="center" wrapText="1"/>
    </xf>
    <xf numFmtId="170" fontId="69" fillId="0" borderId="3" xfId="0" applyNumberFormat="1" applyFont="1" applyFill="1" applyBorder="1" applyAlignment="1">
      <alignment horizontal="center" vertical="center" wrapText="1"/>
    </xf>
    <xf numFmtId="170" fontId="71" fillId="0" borderId="3" xfId="0" applyNumberFormat="1" applyFont="1" applyFill="1" applyBorder="1" applyAlignment="1">
      <alignment horizontal="center" vertical="center" wrapText="1"/>
    </xf>
    <xf numFmtId="170" fontId="75" fillId="0" borderId="3" xfId="0" applyNumberFormat="1" applyFont="1" applyFill="1" applyBorder="1" applyAlignment="1">
      <alignment horizontal="center" vertical="center" wrapText="1"/>
    </xf>
    <xf numFmtId="170" fontId="76" fillId="0" borderId="3" xfId="0" applyNumberFormat="1" applyFont="1" applyFill="1" applyBorder="1" applyAlignment="1">
      <alignment horizontal="center" vertical="center" wrapText="1"/>
    </xf>
    <xf numFmtId="170" fontId="86" fillId="0" borderId="3" xfId="0" applyNumberFormat="1" applyFont="1" applyFill="1" applyBorder="1" applyAlignment="1">
      <alignment horizontal="center" vertical="center"/>
    </xf>
    <xf numFmtId="170" fontId="69" fillId="0" borderId="3" xfId="0" applyNumberFormat="1" applyFont="1" applyFill="1" applyBorder="1" applyAlignment="1">
      <alignment horizontal="center" vertical="center"/>
    </xf>
    <xf numFmtId="170" fontId="75" fillId="0" borderId="3" xfId="0" applyNumberFormat="1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top" wrapText="1"/>
    </xf>
    <xf numFmtId="0" fontId="73" fillId="0" borderId="0" xfId="0" applyFont="1" applyFill="1" applyBorder="1" applyAlignment="1">
      <alignment horizontal="center" vertical="top"/>
    </xf>
    <xf numFmtId="0" fontId="73" fillId="0" borderId="3" xfId="0" applyFont="1" applyFill="1" applyBorder="1" applyAlignment="1">
      <alignment horizontal="center" vertical="center"/>
    </xf>
    <xf numFmtId="0" fontId="73" fillId="0" borderId="3" xfId="0" applyFont="1" applyFill="1" applyBorder="1" applyAlignment="1" applyProtection="1">
      <alignment horizontal="center" vertical="center"/>
      <protection locked="0"/>
    </xf>
    <xf numFmtId="0" fontId="70" fillId="0" borderId="3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 wrapText="1"/>
    </xf>
    <xf numFmtId="0" fontId="70" fillId="0" borderId="0" xfId="0" applyFont="1" applyFill="1" applyAlignment="1">
      <alignment horizontal="center" vertical="center"/>
    </xf>
    <xf numFmtId="0" fontId="68" fillId="0" borderId="13" xfId="0" applyFont="1" applyFill="1" applyBorder="1" applyAlignment="1">
      <alignment horizontal="center"/>
    </xf>
    <xf numFmtId="171" fontId="70" fillId="0" borderId="14" xfId="0" quotePrefix="1" applyNumberFormat="1" applyFont="1" applyFill="1" applyBorder="1" applyAlignment="1">
      <alignment horizontal="center" wrapText="1"/>
    </xf>
    <xf numFmtId="0" fontId="70" fillId="0" borderId="0" xfId="0" applyFont="1" applyFill="1" applyBorder="1" applyAlignment="1">
      <alignment horizontal="center" vertical="center"/>
    </xf>
    <xf numFmtId="0" fontId="71" fillId="0" borderId="15" xfId="0" applyFont="1" applyFill="1" applyBorder="1" applyAlignment="1">
      <alignment horizontal="left" vertical="center" wrapText="1"/>
    </xf>
    <xf numFmtId="0" fontId="71" fillId="0" borderId="16" xfId="0" applyFont="1" applyFill="1" applyBorder="1" applyAlignment="1">
      <alignment horizontal="left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71" fillId="0" borderId="15" xfId="0" applyFont="1" applyFill="1" applyBorder="1" applyAlignment="1">
      <alignment horizontal="center" vertical="center" wrapText="1"/>
    </xf>
    <xf numFmtId="0" fontId="71" fillId="0" borderId="16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171" fontId="72" fillId="0" borderId="13" xfId="0" applyNumberFormat="1" applyFont="1" applyFill="1" applyBorder="1" applyAlignment="1">
      <alignment horizontal="left" wrapText="1"/>
    </xf>
    <xf numFmtId="0" fontId="64" fillId="0" borderId="19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wrapText="1"/>
    </xf>
    <xf numFmtId="0" fontId="71" fillId="0" borderId="15" xfId="0" applyFont="1" applyFill="1" applyBorder="1" applyAlignment="1">
      <alignment horizontal="center" vertical="center"/>
    </xf>
    <xf numFmtId="0" fontId="71" fillId="0" borderId="16" xfId="0" applyFont="1" applyFill="1" applyBorder="1" applyAlignment="1">
      <alignment horizontal="center" vertical="center"/>
    </xf>
    <xf numFmtId="2" fontId="71" fillId="0" borderId="15" xfId="0" applyNumberFormat="1" applyFont="1" applyFill="1" applyBorder="1" applyAlignment="1">
      <alignment horizontal="left" vertical="center" wrapText="1"/>
    </xf>
    <xf numFmtId="2" fontId="71" fillId="0" borderId="16" xfId="0" applyNumberFormat="1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86" fillId="0" borderId="0" xfId="0" applyFont="1" applyFill="1" applyBorder="1" applyAlignment="1">
      <alignment horizontal="center" wrapText="1"/>
    </xf>
    <xf numFmtId="171" fontId="90" fillId="0" borderId="13" xfId="0" applyNumberFormat="1" applyFont="1" applyFill="1" applyBorder="1" applyAlignment="1">
      <alignment horizontal="left" wrapText="1"/>
    </xf>
    <xf numFmtId="0" fontId="71" fillId="0" borderId="14" xfId="0" applyFont="1" applyFill="1" applyBorder="1" applyAlignment="1">
      <alignment horizontal="center" wrapText="1"/>
    </xf>
    <xf numFmtId="0" fontId="64" fillId="0" borderId="0" xfId="0" applyFont="1" applyFill="1" applyBorder="1" applyAlignment="1">
      <alignment vertical="center"/>
    </xf>
    <xf numFmtId="0" fontId="93" fillId="0" borderId="15" xfId="0" applyFont="1" applyFill="1" applyBorder="1" applyAlignment="1">
      <alignment horizontal="center" vertical="center" wrapText="1"/>
    </xf>
    <xf numFmtId="0" fontId="93" fillId="0" borderId="14" xfId="0" applyFont="1" applyFill="1" applyBorder="1" applyAlignment="1">
      <alignment horizontal="center" vertical="center" wrapText="1"/>
    </xf>
    <xf numFmtId="0" fontId="67" fillId="0" borderId="15" xfId="0" applyFont="1" applyFill="1" applyBorder="1" applyAlignment="1">
      <alignment horizontal="center" vertical="center" wrapText="1"/>
    </xf>
    <xf numFmtId="0" fontId="67" fillId="0" borderId="14" xfId="0" applyFont="1" applyFill="1" applyBorder="1" applyAlignment="1">
      <alignment horizontal="center" vertical="center" wrapText="1"/>
    </xf>
    <xf numFmtId="0" fontId="72" fillId="0" borderId="14" xfId="0" applyFont="1" applyFill="1" applyBorder="1" applyAlignment="1">
      <alignment horizontal="center"/>
    </xf>
    <xf numFmtId="0" fontId="71" fillId="0" borderId="0" xfId="0" applyFont="1" applyFill="1" applyBorder="1" applyAlignment="1">
      <alignment horizontal="center" vertical="center"/>
    </xf>
    <xf numFmtId="0" fontId="64" fillId="0" borderId="17" xfId="0" applyFont="1" applyFill="1" applyBorder="1" applyAlignment="1">
      <alignment horizontal="center" vertical="center" wrapText="1"/>
    </xf>
    <xf numFmtId="0" fontId="64" fillId="0" borderId="18" xfId="0" applyFont="1" applyFill="1" applyBorder="1" applyAlignment="1">
      <alignment horizontal="center" vertical="center" wrapText="1"/>
    </xf>
    <xf numFmtId="0" fontId="64" fillId="0" borderId="15" xfId="0" applyFont="1" applyFill="1" applyBorder="1" applyAlignment="1">
      <alignment horizontal="center" vertical="center" wrapText="1"/>
    </xf>
    <xf numFmtId="0" fontId="64" fillId="0" borderId="14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63" fillId="0" borderId="3" xfId="0" applyNumberFormat="1" applyFont="1" applyFill="1" applyBorder="1" applyAlignment="1">
      <alignment horizontal="left" vertical="center" wrapText="1"/>
    </xf>
    <xf numFmtId="0" fontId="64" fillId="0" borderId="20" xfId="0" applyFont="1" applyFill="1" applyBorder="1" applyAlignment="1">
      <alignment horizontal="center" vertical="center" wrapText="1"/>
    </xf>
    <xf numFmtId="0" fontId="64" fillId="0" borderId="21" xfId="0" applyFont="1" applyFill="1" applyBorder="1" applyAlignment="1">
      <alignment horizontal="center" vertical="center" wrapText="1"/>
    </xf>
  </cellXfs>
  <cellStyles count="354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rmal_GSE DCF_Model_31_07_09 final" xfId="182" xr:uid="{00000000-0005-0000-0000-0000B5000000}"/>
    <cellStyle name="Note" xfId="183" xr:uid="{00000000-0005-0000-0000-0000B6000000}"/>
    <cellStyle name="Number-Cells" xfId="184" xr:uid="{00000000-0005-0000-0000-0000B7000000}"/>
    <cellStyle name="Number-Cells-Column2" xfId="185" xr:uid="{00000000-0005-0000-0000-0000B8000000}"/>
    <cellStyle name="Number-Cells-Column5" xfId="186" xr:uid="{00000000-0005-0000-0000-0000B9000000}"/>
    <cellStyle name="Output" xfId="187" xr:uid="{00000000-0005-0000-0000-0000BA000000}"/>
    <cellStyle name="Row-Header" xfId="188" xr:uid="{00000000-0005-0000-0000-0000BB000000}"/>
    <cellStyle name="Row-Header 2" xfId="189" xr:uid="{00000000-0005-0000-0000-0000BC000000}"/>
    <cellStyle name="Title" xfId="190" xr:uid="{00000000-0005-0000-0000-0000BD000000}"/>
    <cellStyle name="Total" xfId="191" xr:uid="{00000000-0005-0000-0000-0000BE000000}"/>
    <cellStyle name="Warning Text" xfId="192" xr:uid="{00000000-0005-0000-0000-0000BF000000}"/>
    <cellStyle name="Акцент1 2" xfId="193" xr:uid="{00000000-0005-0000-0000-0000C0000000}"/>
    <cellStyle name="Акцент1 3" xfId="194" xr:uid="{00000000-0005-0000-0000-0000C1000000}"/>
    <cellStyle name="Акцент2 2" xfId="195" xr:uid="{00000000-0005-0000-0000-0000C2000000}"/>
    <cellStyle name="Акцент2 3" xfId="196" xr:uid="{00000000-0005-0000-0000-0000C3000000}"/>
    <cellStyle name="Акцент3 2" xfId="197" xr:uid="{00000000-0005-0000-0000-0000C4000000}"/>
    <cellStyle name="Акцент3 3" xfId="198" xr:uid="{00000000-0005-0000-0000-0000C5000000}"/>
    <cellStyle name="Акцент4 2" xfId="199" xr:uid="{00000000-0005-0000-0000-0000C6000000}"/>
    <cellStyle name="Акцент4 3" xfId="200" xr:uid="{00000000-0005-0000-0000-0000C7000000}"/>
    <cellStyle name="Акцент5 2" xfId="201" xr:uid="{00000000-0005-0000-0000-0000C8000000}"/>
    <cellStyle name="Акцент5 3" xfId="202" xr:uid="{00000000-0005-0000-0000-0000C9000000}"/>
    <cellStyle name="Акцент6 2" xfId="203" xr:uid="{00000000-0005-0000-0000-0000CA000000}"/>
    <cellStyle name="Акцент6 3" xfId="204" xr:uid="{00000000-0005-0000-0000-0000CB000000}"/>
    <cellStyle name="Ввод  2" xfId="205" xr:uid="{00000000-0005-0000-0000-0000CC000000}"/>
    <cellStyle name="Ввод  3" xfId="206" xr:uid="{00000000-0005-0000-0000-0000CD000000}"/>
    <cellStyle name="Вывод 2" xfId="207" xr:uid="{00000000-0005-0000-0000-0000CE000000}"/>
    <cellStyle name="Вывод 3" xfId="208" xr:uid="{00000000-0005-0000-0000-0000CF000000}"/>
    <cellStyle name="Вычисление 2" xfId="209" xr:uid="{00000000-0005-0000-0000-0000D0000000}"/>
    <cellStyle name="Вычисление 3" xfId="210" xr:uid="{00000000-0005-0000-0000-0000D1000000}"/>
    <cellStyle name="Денежный 2" xfId="211" xr:uid="{00000000-0005-0000-0000-0000D2000000}"/>
    <cellStyle name="Заголовок 1 2" xfId="212" xr:uid="{00000000-0005-0000-0000-0000D3000000}"/>
    <cellStyle name="Заголовок 1 3" xfId="213" xr:uid="{00000000-0005-0000-0000-0000D4000000}"/>
    <cellStyle name="Заголовок 2 2" xfId="214" xr:uid="{00000000-0005-0000-0000-0000D5000000}"/>
    <cellStyle name="Заголовок 2 3" xfId="215" xr:uid="{00000000-0005-0000-0000-0000D6000000}"/>
    <cellStyle name="Заголовок 3 2" xfId="216" xr:uid="{00000000-0005-0000-0000-0000D7000000}"/>
    <cellStyle name="Заголовок 3 3" xfId="217" xr:uid="{00000000-0005-0000-0000-0000D8000000}"/>
    <cellStyle name="Заголовок 4 2" xfId="218" xr:uid="{00000000-0005-0000-0000-0000D9000000}"/>
    <cellStyle name="Заголовок 4 3" xfId="219" xr:uid="{00000000-0005-0000-0000-0000DA000000}"/>
    <cellStyle name="Звичайний" xfId="0" builtinId="0"/>
    <cellStyle name="Итог 2" xfId="220" xr:uid="{00000000-0005-0000-0000-0000DB000000}"/>
    <cellStyle name="Итог 3" xfId="221" xr:uid="{00000000-0005-0000-0000-0000DC000000}"/>
    <cellStyle name="Контрольная ячейка 2" xfId="222" xr:uid="{00000000-0005-0000-0000-0000DD000000}"/>
    <cellStyle name="Контрольная ячейка 3" xfId="223" xr:uid="{00000000-0005-0000-0000-0000DE000000}"/>
    <cellStyle name="Название 2" xfId="224" xr:uid="{00000000-0005-0000-0000-0000DF000000}"/>
    <cellStyle name="Название 3" xfId="225" xr:uid="{00000000-0005-0000-0000-0000E0000000}"/>
    <cellStyle name="Нейтральный 2" xfId="226" xr:uid="{00000000-0005-0000-0000-0000E1000000}"/>
    <cellStyle name="Нейтральный 3" xfId="227" xr:uid="{00000000-0005-0000-0000-0000E2000000}"/>
    <cellStyle name="Обычный 10" xfId="228" xr:uid="{00000000-0005-0000-0000-0000E4000000}"/>
    <cellStyle name="Обычный 11" xfId="229" xr:uid="{00000000-0005-0000-0000-0000E5000000}"/>
    <cellStyle name="Обычный 12" xfId="230" xr:uid="{00000000-0005-0000-0000-0000E6000000}"/>
    <cellStyle name="Обычный 13" xfId="231" xr:uid="{00000000-0005-0000-0000-0000E7000000}"/>
    <cellStyle name="Обычный 14" xfId="232" xr:uid="{00000000-0005-0000-0000-0000E8000000}"/>
    <cellStyle name="Обычный 15" xfId="233" xr:uid="{00000000-0005-0000-0000-0000E9000000}"/>
    <cellStyle name="Обычный 16" xfId="234" xr:uid="{00000000-0005-0000-0000-0000EA000000}"/>
    <cellStyle name="Обычный 17" xfId="235" xr:uid="{00000000-0005-0000-0000-0000EB000000}"/>
    <cellStyle name="Обычный 18" xfId="236" xr:uid="{00000000-0005-0000-0000-0000EC000000}"/>
    <cellStyle name="Обычный 2" xfId="237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Обычный_1139" xfId="353" xr:uid="{00000000-0005-0000-0000-00001D010000}"/>
    <cellStyle name="Плохой 2" xfId="285" xr:uid="{00000000-0005-0000-0000-00001E010000}"/>
    <cellStyle name="Плохой 3" xfId="286" xr:uid="{00000000-0005-0000-0000-00001F010000}"/>
    <cellStyle name="Пояснение 2" xfId="287" xr:uid="{00000000-0005-0000-0000-000020010000}"/>
    <cellStyle name="Пояснение 3" xfId="288" xr:uid="{00000000-0005-0000-0000-000021010000}"/>
    <cellStyle name="Примечание 2" xfId="289" xr:uid="{00000000-0005-0000-0000-000022010000}"/>
    <cellStyle name="Примечание 3" xfId="290" xr:uid="{00000000-0005-0000-0000-000023010000}"/>
    <cellStyle name="Процентный 2" xfId="291" xr:uid="{00000000-0005-0000-0000-000024010000}"/>
    <cellStyle name="Процентный 2 10" xfId="292" xr:uid="{00000000-0005-0000-0000-000025010000}"/>
    <cellStyle name="Процентный 2 11" xfId="293" xr:uid="{00000000-0005-0000-0000-000026010000}"/>
    <cellStyle name="Процентный 2 12" xfId="294" xr:uid="{00000000-0005-0000-0000-000027010000}"/>
    <cellStyle name="Процентный 2 13" xfId="295" xr:uid="{00000000-0005-0000-0000-000028010000}"/>
    <cellStyle name="Процентный 2 14" xfId="296" xr:uid="{00000000-0005-0000-0000-000029010000}"/>
    <cellStyle name="Процентный 2 15" xfId="297" xr:uid="{00000000-0005-0000-0000-00002A010000}"/>
    <cellStyle name="Процентный 2 16" xfId="298" xr:uid="{00000000-0005-0000-0000-00002B010000}"/>
    <cellStyle name="Процентный 2 2" xfId="299" xr:uid="{00000000-0005-0000-0000-00002C010000}"/>
    <cellStyle name="Процентный 2 3" xfId="300" xr:uid="{00000000-0005-0000-0000-00002D010000}"/>
    <cellStyle name="Процентный 2 4" xfId="301" xr:uid="{00000000-0005-0000-0000-00002E010000}"/>
    <cellStyle name="Процентный 2 5" xfId="302" xr:uid="{00000000-0005-0000-0000-00002F010000}"/>
    <cellStyle name="Процентный 2 6" xfId="303" xr:uid="{00000000-0005-0000-0000-000030010000}"/>
    <cellStyle name="Процентный 2 7" xfId="304" xr:uid="{00000000-0005-0000-0000-000031010000}"/>
    <cellStyle name="Процентный 2 8" xfId="305" xr:uid="{00000000-0005-0000-0000-000032010000}"/>
    <cellStyle name="Процентный 2 9" xfId="306" xr:uid="{00000000-0005-0000-0000-000033010000}"/>
    <cellStyle name="Процентный 3" xfId="307" xr:uid="{00000000-0005-0000-0000-000034010000}"/>
    <cellStyle name="Процентный 4" xfId="308" xr:uid="{00000000-0005-0000-0000-000035010000}"/>
    <cellStyle name="Процентный 4 2" xfId="309" xr:uid="{00000000-0005-0000-0000-000036010000}"/>
    <cellStyle name="Связанная ячейка 2" xfId="310" xr:uid="{00000000-0005-0000-0000-000037010000}"/>
    <cellStyle name="Связанная ячейка 3" xfId="311" xr:uid="{00000000-0005-0000-0000-000038010000}"/>
    <cellStyle name="Стиль 1" xfId="312" xr:uid="{00000000-0005-0000-0000-000039010000}"/>
    <cellStyle name="Стиль 1 2" xfId="313" xr:uid="{00000000-0005-0000-0000-00003A010000}"/>
    <cellStyle name="Стиль 1 3" xfId="314" xr:uid="{00000000-0005-0000-0000-00003B010000}"/>
    <cellStyle name="Стиль 1 4" xfId="315" xr:uid="{00000000-0005-0000-0000-00003C010000}"/>
    <cellStyle name="Стиль 1 5" xfId="316" xr:uid="{00000000-0005-0000-0000-00003D010000}"/>
    <cellStyle name="Стиль 1 6" xfId="317" xr:uid="{00000000-0005-0000-0000-00003E010000}"/>
    <cellStyle name="Стиль 1 7" xfId="318" xr:uid="{00000000-0005-0000-0000-00003F010000}"/>
    <cellStyle name="Текст предупреждения 2" xfId="319" xr:uid="{00000000-0005-0000-0000-000040010000}"/>
    <cellStyle name="Текст предупреждения 3" xfId="320" xr:uid="{00000000-0005-0000-0000-000041010000}"/>
    <cellStyle name="Тысячи [0]_1.62" xfId="321" xr:uid="{00000000-0005-0000-0000-000042010000}"/>
    <cellStyle name="Тысячи_1.62" xfId="322" xr:uid="{00000000-0005-0000-0000-000043010000}"/>
    <cellStyle name="Финансовый 2" xfId="323" xr:uid="{00000000-0005-0000-0000-000044010000}"/>
    <cellStyle name="Финансовый 2 10" xfId="324" xr:uid="{00000000-0005-0000-0000-000045010000}"/>
    <cellStyle name="Финансовый 2 11" xfId="325" xr:uid="{00000000-0005-0000-0000-000046010000}"/>
    <cellStyle name="Финансовый 2 12" xfId="326" xr:uid="{00000000-0005-0000-0000-000047010000}"/>
    <cellStyle name="Финансовый 2 13" xfId="327" xr:uid="{00000000-0005-0000-0000-000048010000}"/>
    <cellStyle name="Финансовый 2 14" xfId="328" xr:uid="{00000000-0005-0000-0000-000049010000}"/>
    <cellStyle name="Финансовый 2 15" xfId="329" xr:uid="{00000000-0005-0000-0000-00004A010000}"/>
    <cellStyle name="Финансовый 2 16" xfId="330" xr:uid="{00000000-0005-0000-0000-00004B010000}"/>
    <cellStyle name="Финансовый 2 17" xfId="331" xr:uid="{00000000-0005-0000-0000-00004C010000}"/>
    <cellStyle name="Финансовый 2 2" xfId="332" xr:uid="{00000000-0005-0000-0000-00004D010000}"/>
    <cellStyle name="Финансовый 2 3" xfId="333" xr:uid="{00000000-0005-0000-0000-00004E010000}"/>
    <cellStyle name="Финансовый 2 4" xfId="334" xr:uid="{00000000-0005-0000-0000-00004F010000}"/>
    <cellStyle name="Финансовый 2 5" xfId="335" xr:uid="{00000000-0005-0000-0000-000050010000}"/>
    <cellStyle name="Финансовый 2 6" xfId="336" xr:uid="{00000000-0005-0000-0000-000051010000}"/>
    <cellStyle name="Финансовый 2 7" xfId="337" xr:uid="{00000000-0005-0000-0000-000052010000}"/>
    <cellStyle name="Финансовый 2 8" xfId="338" xr:uid="{00000000-0005-0000-0000-000053010000}"/>
    <cellStyle name="Финансовый 2 9" xfId="339" xr:uid="{00000000-0005-0000-0000-000054010000}"/>
    <cellStyle name="Финансовый 3" xfId="340" xr:uid="{00000000-0005-0000-0000-000055010000}"/>
    <cellStyle name="Финансовый 3 2" xfId="341" xr:uid="{00000000-0005-0000-0000-000056010000}"/>
    <cellStyle name="Финансовый 4" xfId="342" xr:uid="{00000000-0005-0000-0000-000057010000}"/>
    <cellStyle name="Финансовый 4 2" xfId="343" xr:uid="{00000000-0005-0000-0000-000058010000}"/>
    <cellStyle name="Финансовый 4 3" xfId="344" xr:uid="{00000000-0005-0000-0000-000059010000}"/>
    <cellStyle name="Финансовый 5" xfId="345" xr:uid="{00000000-0005-0000-0000-00005A010000}"/>
    <cellStyle name="Финансовый 6" xfId="346" xr:uid="{00000000-0005-0000-0000-00005B010000}"/>
    <cellStyle name="Финансовый 7" xfId="347" xr:uid="{00000000-0005-0000-0000-00005C010000}"/>
    <cellStyle name="Хороший 2" xfId="348" xr:uid="{00000000-0005-0000-0000-00005D010000}"/>
    <cellStyle name="Хороший 3" xfId="349" xr:uid="{00000000-0005-0000-0000-00005E010000}"/>
    <cellStyle name="числовой" xfId="350" xr:uid="{00000000-0005-0000-0000-00005F010000}"/>
    <cellStyle name="Ю" xfId="351" xr:uid="{00000000-0005-0000-0000-000060010000}"/>
    <cellStyle name="Ю-FreeSet_10" xfId="352" xr:uid="{00000000-0005-0000-0000-000061010000}"/>
  </cellStyles>
  <dxfs count="0"/>
  <tableStyles count="0" defaultTableStyle="TableStyleMedium2" defaultPivotStyle="PivotStyleLight16"/>
  <colors>
    <mruColors>
      <color rgb="FFCCFFCC"/>
      <color rgb="FFFFCCFF"/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  <sheetName val="gdp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N249"/>
  <sheetViews>
    <sheetView view="pageBreakPreview" topLeftCell="A31" zoomScale="75" zoomScaleNormal="75" zoomScaleSheetLayoutView="75" workbookViewId="0">
      <selection activeCell="F46" sqref="F46"/>
    </sheetView>
  </sheetViews>
  <sheetFormatPr defaultRowHeight="20.25"/>
  <cols>
    <col min="1" max="1" width="58.42578125" style="1" customWidth="1"/>
    <col min="2" max="2" width="11.140625" style="34" customWidth="1"/>
    <col min="3" max="3" width="18" style="34" customWidth="1"/>
    <col min="4" max="4" width="17.7109375" style="34" customWidth="1"/>
    <col min="5" max="5" width="16.140625" style="1" customWidth="1"/>
    <col min="6" max="6" width="16" style="1" customWidth="1"/>
    <col min="7" max="7" width="18.140625" style="1" customWidth="1"/>
    <col min="8" max="8" width="17.42578125" style="1" customWidth="1"/>
    <col min="9" max="9" width="22.28515625" style="1" customWidth="1"/>
    <col min="10" max="10" width="20.28515625" style="1" customWidth="1"/>
    <col min="11" max="11" width="19.140625" style="1" customWidth="1"/>
    <col min="12" max="12" width="17.42578125" style="1" customWidth="1"/>
    <col min="13" max="13" width="15.85546875" style="1" customWidth="1"/>
    <col min="14" max="16384" width="9.140625" style="1"/>
  </cols>
  <sheetData>
    <row r="1" spans="1:11" ht="93.75" customHeight="1">
      <c r="A1" s="291" t="s">
        <v>388</v>
      </c>
      <c r="B1" s="292"/>
      <c r="C1" s="292"/>
      <c r="D1" s="292"/>
      <c r="E1" s="292"/>
      <c r="F1" s="292"/>
      <c r="G1" s="292"/>
      <c r="H1" s="292"/>
    </row>
    <row r="2" spans="1:11" ht="24" customHeight="1">
      <c r="A2" s="290" t="s">
        <v>15</v>
      </c>
      <c r="B2" s="290"/>
      <c r="C2" s="290"/>
      <c r="D2" s="290"/>
      <c r="E2" s="290"/>
      <c r="F2" s="290"/>
      <c r="G2" s="290"/>
      <c r="H2" s="290"/>
    </row>
    <row r="3" spans="1:11" s="71" customFormat="1" ht="16.5" customHeight="1">
      <c r="A3" s="37"/>
      <c r="B3" s="38"/>
      <c r="C3" s="147"/>
      <c r="D3" s="38"/>
      <c r="E3" s="38"/>
      <c r="F3" s="38"/>
      <c r="G3" s="38"/>
      <c r="H3" s="39" t="s">
        <v>50</v>
      </c>
    </row>
    <row r="4" spans="1:11" ht="60.75" customHeight="1">
      <c r="A4" s="295" t="s">
        <v>20</v>
      </c>
      <c r="B4" s="296" t="s">
        <v>4</v>
      </c>
      <c r="C4" s="296" t="s">
        <v>101</v>
      </c>
      <c r="D4" s="296"/>
      <c r="E4" s="295" t="s">
        <v>387</v>
      </c>
      <c r="F4" s="295"/>
      <c r="G4" s="295"/>
      <c r="H4" s="295"/>
    </row>
    <row r="5" spans="1:11" ht="46.5" customHeight="1">
      <c r="A5" s="295"/>
      <c r="B5" s="296"/>
      <c r="C5" s="4" t="s">
        <v>385</v>
      </c>
      <c r="D5" s="4" t="s">
        <v>386</v>
      </c>
      <c r="E5" s="40" t="s">
        <v>149</v>
      </c>
      <c r="F5" s="40" t="s">
        <v>90</v>
      </c>
      <c r="G5" s="40" t="s">
        <v>91</v>
      </c>
      <c r="H5" s="40" t="s">
        <v>92</v>
      </c>
    </row>
    <row r="6" spans="1:11" s="71" customFormat="1" ht="21" customHeight="1">
      <c r="A6" s="35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</row>
    <row r="7" spans="1:11" ht="23.25" customHeight="1">
      <c r="A7" s="297" t="s">
        <v>79</v>
      </c>
      <c r="B7" s="297"/>
      <c r="C7" s="297"/>
      <c r="D7" s="297"/>
      <c r="E7" s="297"/>
      <c r="F7" s="297"/>
      <c r="G7" s="297"/>
      <c r="H7" s="297"/>
    </row>
    <row r="8" spans="1:11" ht="42" customHeight="1">
      <c r="A8" s="41" t="s">
        <v>211</v>
      </c>
      <c r="B8" s="42">
        <v>1000</v>
      </c>
      <c r="C8" s="24">
        <v>172720.4</v>
      </c>
      <c r="D8" s="24">
        <v>216900</v>
      </c>
      <c r="E8" s="254">
        <v>176694.9</v>
      </c>
      <c r="F8" s="24">
        <v>216900</v>
      </c>
      <c r="G8" s="43">
        <f>F8-E8</f>
        <v>40205.100000000006</v>
      </c>
      <c r="H8" s="43">
        <f>(F8/E8)*100</f>
        <v>122.7539674319972</v>
      </c>
      <c r="J8" s="22"/>
    </row>
    <row r="9" spans="1:11" ht="63.75" customHeight="1">
      <c r="A9" s="41" t="s">
        <v>59</v>
      </c>
      <c r="B9" s="42">
        <v>1010</v>
      </c>
      <c r="C9" s="43">
        <f t="shared" ref="C9" si="0">SUM(C10:C14)</f>
        <v>-193679.9</v>
      </c>
      <c r="D9" s="43">
        <f t="shared" ref="D9" si="1">SUM(D10:D14)</f>
        <v>-241854.5</v>
      </c>
      <c r="E9" s="24">
        <f>SUM(E10:E14)</f>
        <v>-195258.1</v>
      </c>
      <c r="F9" s="43">
        <f t="shared" ref="F9" si="2">SUM(F10:F14)</f>
        <v>-241854.5</v>
      </c>
      <c r="G9" s="43">
        <f t="shared" ref="G9:G43" si="3">F9-E9</f>
        <v>-46596.399999999994</v>
      </c>
      <c r="H9" s="43">
        <f t="shared" ref="H9:H43" si="4">(F9/E9)*100</f>
        <v>123.86400359319281</v>
      </c>
      <c r="J9" s="33"/>
    </row>
    <row r="10" spans="1:11" ht="24.75" customHeight="1">
      <c r="A10" s="44" t="s">
        <v>60</v>
      </c>
      <c r="B10" s="193">
        <v>1011</v>
      </c>
      <c r="C10" s="13">
        <v>-50193</v>
      </c>
      <c r="D10" s="13">
        <v>-81801.399999999994</v>
      </c>
      <c r="E10" s="13">
        <v>-47797.599999999999</v>
      </c>
      <c r="F10" s="13">
        <v>-81801.399999999994</v>
      </c>
      <c r="G10" s="14">
        <f t="shared" si="3"/>
        <v>-34003.799999999996</v>
      </c>
      <c r="H10" s="14">
        <f t="shared" si="4"/>
        <v>171.14122884831039</v>
      </c>
    </row>
    <row r="11" spans="1:11" ht="25.5" customHeight="1">
      <c r="A11" s="44" t="s">
        <v>1</v>
      </c>
      <c r="B11" s="193">
        <v>1012</v>
      </c>
      <c r="C11" s="13">
        <v>-103961</v>
      </c>
      <c r="D11" s="13">
        <v>-112972.3</v>
      </c>
      <c r="E11" s="13">
        <v>-103432.7</v>
      </c>
      <c r="F11" s="13">
        <v>-112972.3</v>
      </c>
      <c r="G11" s="14">
        <f t="shared" si="3"/>
        <v>-9539.6000000000058</v>
      </c>
      <c r="H11" s="14">
        <f t="shared" si="4"/>
        <v>109.22300201000263</v>
      </c>
      <c r="J11" s="33"/>
    </row>
    <row r="12" spans="1:11" ht="25.5" customHeight="1">
      <c r="A12" s="44" t="s">
        <v>2</v>
      </c>
      <c r="B12" s="193">
        <v>1013</v>
      </c>
      <c r="C12" s="13">
        <v>-22382.1</v>
      </c>
      <c r="D12" s="13">
        <v>-24501.3</v>
      </c>
      <c r="E12" s="13">
        <v>-22500.1</v>
      </c>
      <c r="F12" s="13">
        <v>-24501.3</v>
      </c>
      <c r="G12" s="14">
        <f t="shared" si="3"/>
        <v>-2001.2000000000007</v>
      </c>
      <c r="H12" s="14">
        <f t="shared" si="4"/>
        <v>108.89418269252138</v>
      </c>
      <c r="I12" s="33"/>
    </row>
    <row r="13" spans="1:11" ht="24" customHeight="1">
      <c r="A13" s="44" t="s">
        <v>3</v>
      </c>
      <c r="B13" s="193">
        <v>1014</v>
      </c>
      <c r="C13" s="13">
        <v>-15309.3</v>
      </c>
      <c r="D13" s="13">
        <v>-19568.400000000001</v>
      </c>
      <c r="E13" s="13">
        <v>-19125</v>
      </c>
      <c r="F13" s="13">
        <v>-19568.400000000001</v>
      </c>
      <c r="G13" s="14">
        <f t="shared" si="3"/>
        <v>-443.40000000000146</v>
      </c>
      <c r="H13" s="14">
        <f t="shared" si="4"/>
        <v>102.31843137254903</v>
      </c>
      <c r="I13" s="61"/>
      <c r="J13" s="61"/>
      <c r="K13" s="61"/>
    </row>
    <row r="14" spans="1:11" ht="24" customHeight="1">
      <c r="A14" s="44" t="s">
        <v>44</v>
      </c>
      <c r="B14" s="193">
        <v>1015</v>
      </c>
      <c r="C14" s="13">
        <v>-1834.5</v>
      </c>
      <c r="D14" s="13">
        <v>-3011.1</v>
      </c>
      <c r="E14" s="13">
        <v>-2402.6999999999998</v>
      </c>
      <c r="F14" s="13">
        <v>-3011.1</v>
      </c>
      <c r="G14" s="14">
        <f t="shared" si="3"/>
        <v>-608.40000000000009</v>
      </c>
      <c r="H14" s="14">
        <f t="shared" si="4"/>
        <v>125.32151329754026</v>
      </c>
      <c r="I14" s="33"/>
    </row>
    <row r="15" spans="1:11" ht="28.5" customHeight="1">
      <c r="A15" s="41" t="s">
        <v>22</v>
      </c>
      <c r="B15" s="193">
        <v>1020</v>
      </c>
      <c r="C15" s="43">
        <f t="shared" ref="C15" si="5">SUM(C8:C9)</f>
        <v>-20959.5</v>
      </c>
      <c r="D15" s="43">
        <f t="shared" ref="D15" si="6">SUM(D8:D9)</f>
        <v>-24954.5</v>
      </c>
      <c r="E15" s="24">
        <f>SUM(E8:E9)</f>
        <v>-18563.200000000012</v>
      </c>
      <c r="F15" s="43">
        <f t="shared" ref="F15" si="7">SUM(F8:F9)</f>
        <v>-24954.5</v>
      </c>
      <c r="G15" s="43">
        <f t="shared" si="3"/>
        <v>-6391.2999999999884</v>
      </c>
      <c r="H15" s="43">
        <f t="shared" si="4"/>
        <v>134.42994742285805</v>
      </c>
    </row>
    <row r="16" spans="1:11" ht="43.5" customHeight="1">
      <c r="A16" s="41" t="s">
        <v>74</v>
      </c>
      <c r="B16" s="42">
        <v>1020</v>
      </c>
      <c r="C16" s="43">
        <f t="shared" ref="C16:D16" si="8">SUM(C17:C21)</f>
        <v>-8663.5999999999985</v>
      </c>
      <c r="D16" s="43">
        <f t="shared" si="8"/>
        <v>-10480.4</v>
      </c>
      <c r="E16" s="24">
        <f>SUM(E17:E21)</f>
        <v>-9055.1</v>
      </c>
      <c r="F16" s="43">
        <f t="shared" ref="F16" si="9">SUM(F17:F21)</f>
        <v>-10480.4</v>
      </c>
      <c r="G16" s="43">
        <f t="shared" si="3"/>
        <v>-1425.2999999999993</v>
      </c>
      <c r="H16" s="43">
        <f t="shared" si="4"/>
        <v>115.74030104581948</v>
      </c>
    </row>
    <row r="17" spans="1:12" ht="27" customHeight="1">
      <c r="A17" s="44" t="s">
        <v>60</v>
      </c>
      <c r="B17" s="193">
        <v>1021</v>
      </c>
      <c r="C17" s="13">
        <v>-40.4</v>
      </c>
      <c r="D17" s="13">
        <v>-85</v>
      </c>
      <c r="E17" s="13">
        <v>-70</v>
      </c>
      <c r="F17" s="13">
        <v>-85</v>
      </c>
      <c r="G17" s="14">
        <f t="shared" si="3"/>
        <v>-15</v>
      </c>
      <c r="H17" s="14">
        <f t="shared" si="4"/>
        <v>121.42857142857142</v>
      </c>
      <c r="I17" s="33"/>
    </row>
    <row r="18" spans="1:12" ht="27.75" customHeight="1">
      <c r="A18" s="44" t="s">
        <v>1</v>
      </c>
      <c r="B18" s="193">
        <v>1022</v>
      </c>
      <c r="C18" s="13">
        <v>-6712.4</v>
      </c>
      <c r="D18" s="13">
        <v>-8197.5</v>
      </c>
      <c r="E18" s="13">
        <v>-7100</v>
      </c>
      <c r="F18" s="13">
        <v>-8197.5</v>
      </c>
      <c r="G18" s="14">
        <f t="shared" si="3"/>
        <v>-1097.5</v>
      </c>
      <c r="H18" s="14">
        <f t="shared" si="4"/>
        <v>115.45774647887323</v>
      </c>
      <c r="I18" s="33"/>
    </row>
    <row r="19" spans="1:12" ht="25.5" customHeight="1">
      <c r="A19" s="44" t="s">
        <v>2</v>
      </c>
      <c r="B19" s="193">
        <v>1023</v>
      </c>
      <c r="C19" s="13">
        <v>-1443</v>
      </c>
      <c r="D19" s="13">
        <v>-1571.5</v>
      </c>
      <c r="E19" s="13">
        <v>-1420</v>
      </c>
      <c r="F19" s="13">
        <v>-1571.5</v>
      </c>
      <c r="G19" s="14">
        <f t="shared" si="3"/>
        <v>-151.5</v>
      </c>
      <c r="H19" s="14">
        <f t="shared" si="4"/>
        <v>110.66901408450704</v>
      </c>
      <c r="I19" s="33"/>
    </row>
    <row r="20" spans="1:12" ht="24.75" customHeight="1">
      <c r="A20" s="44" t="s">
        <v>3</v>
      </c>
      <c r="B20" s="193">
        <v>1024</v>
      </c>
      <c r="C20" s="13"/>
      <c r="D20" s="13"/>
      <c r="E20" s="13" t="s">
        <v>254</v>
      </c>
      <c r="F20" s="13"/>
      <c r="G20" s="63" t="e">
        <f t="shared" si="3"/>
        <v>#VALUE!</v>
      </c>
      <c r="H20" s="14"/>
      <c r="I20" s="23"/>
      <c r="J20" s="23"/>
      <c r="K20" s="23"/>
    </row>
    <row r="21" spans="1:12" ht="39" customHeight="1">
      <c r="A21" s="44" t="s">
        <v>61</v>
      </c>
      <c r="B21" s="193">
        <v>1025</v>
      </c>
      <c r="C21" s="13">
        <v>-467.8</v>
      </c>
      <c r="D21" s="13">
        <v>-626.4</v>
      </c>
      <c r="E21" s="13">
        <v>-465.1</v>
      </c>
      <c r="F21" s="13">
        <v>-626.4</v>
      </c>
      <c r="G21" s="14">
        <f t="shared" si="3"/>
        <v>-161.29999999999995</v>
      </c>
      <c r="H21" s="14">
        <f t="shared" si="4"/>
        <v>134.68071382498385</v>
      </c>
      <c r="I21" s="23"/>
      <c r="J21" s="23"/>
      <c r="K21" s="23"/>
    </row>
    <row r="22" spans="1:12" ht="38.25" customHeight="1">
      <c r="A22" s="41" t="s">
        <v>31</v>
      </c>
      <c r="B22" s="42">
        <v>1040</v>
      </c>
      <c r="C22" s="43">
        <f>SUM(C23:C24)</f>
        <v>22788.9</v>
      </c>
      <c r="D22" s="43">
        <f>SUM(D23:D24)</f>
        <v>28366.2</v>
      </c>
      <c r="E22" s="24">
        <f>E23+E24</f>
        <v>13461.8</v>
      </c>
      <c r="F22" s="43">
        <f>SUM(F23:F24)</f>
        <v>28366.2</v>
      </c>
      <c r="G22" s="43">
        <f t="shared" si="3"/>
        <v>14904.400000000001</v>
      </c>
      <c r="H22" s="43">
        <f t="shared" si="4"/>
        <v>210.71624894144912</v>
      </c>
      <c r="I22" s="31"/>
      <c r="J22" s="31"/>
      <c r="K22" s="31"/>
      <c r="L22" s="31"/>
    </row>
    <row r="23" spans="1:12" ht="30.75" customHeight="1">
      <c r="A23" s="44" t="s">
        <v>32</v>
      </c>
      <c r="B23" s="193">
        <v>1041</v>
      </c>
      <c r="C23" s="14"/>
      <c r="D23" s="14"/>
      <c r="E23" s="13"/>
      <c r="F23" s="14"/>
      <c r="G23" s="14">
        <f t="shared" si="3"/>
        <v>0</v>
      </c>
      <c r="H23" s="45"/>
      <c r="I23" s="23"/>
      <c r="J23" s="23"/>
      <c r="K23" s="23"/>
    </row>
    <row r="24" spans="1:12" ht="30" customHeight="1">
      <c r="A24" s="44" t="s">
        <v>33</v>
      </c>
      <c r="B24" s="193">
        <v>1042</v>
      </c>
      <c r="C24" s="13">
        <v>22788.9</v>
      </c>
      <c r="D24" s="13">
        <v>28366.2</v>
      </c>
      <c r="E24" s="255">
        <v>13461.8</v>
      </c>
      <c r="F24" s="13">
        <v>28366.2</v>
      </c>
      <c r="G24" s="14">
        <f t="shared" si="3"/>
        <v>14904.400000000001</v>
      </c>
      <c r="H24" s="14">
        <f t="shared" si="4"/>
        <v>210.71624894144912</v>
      </c>
    </row>
    <row r="25" spans="1:12" ht="42.75" customHeight="1">
      <c r="A25" s="41" t="s">
        <v>10</v>
      </c>
      <c r="B25" s="42">
        <v>1030</v>
      </c>
      <c r="C25" s="43">
        <f t="shared" ref="C25:D25" si="10">SUM(C26:C30)</f>
        <v>-5900.8000000000011</v>
      </c>
      <c r="D25" s="43">
        <f t="shared" si="10"/>
        <v>-7441.6</v>
      </c>
      <c r="E25" s="24">
        <f t="shared" ref="E25" si="11">SUM(E26:E30)</f>
        <v>-6155</v>
      </c>
      <c r="F25" s="43">
        <f t="shared" ref="F25" si="12">SUM(F26:F30)</f>
        <v>-7441.6</v>
      </c>
      <c r="G25" s="43">
        <f t="shared" si="3"/>
        <v>-1286.6000000000004</v>
      </c>
      <c r="H25" s="43">
        <f t="shared" si="4"/>
        <v>120.90333062550773</v>
      </c>
    </row>
    <row r="26" spans="1:12" ht="21.95" customHeight="1">
      <c r="A26" s="44" t="s">
        <v>60</v>
      </c>
      <c r="B26" s="193">
        <v>1031</v>
      </c>
      <c r="C26" s="14"/>
      <c r="D26" s="13">
        <v>-73.099999999999994</v>
      </c>
      <c r="E26" s="13" t="s">
        <v>254</v>
      </c>
      <c r="F26" s="13">
        <v>-73.099999999999994</v>
      </c>
      <c r="G26" s="64" t="e">
        <f t="shared" si="3"/>
        <v>#VALUE!</v>
      </c>
      <c r="H26" s="43"/>
    </row>
    <row r="27" spans="1:12" ht="21.95" customHeight="1">
      <c r="A27" s="44" t="s">
        <v>1</v>
      </c>
      <c r="B27" s="193">
        <v>1032</v>
      </c>
      <c r="C27" s="13">
        <v>-3000.3</v>
      </c>
      <c r="D27" s="13">
        <v>-3492</v>
      </c>
      <c r="E27" s="13">
        <v>-3200</v>
      </c>
      <c r="F27" s="13">
        <v>-3492</v>
      </c>
      <c r="G27" s="14">
        <f t="shared" si="3"/>
        <v>-292</v>
      </c>
      <c r="H27" s="14">
        <f t="shared" si="4"/>
        <v>109.125</v>
      </c>
    </row>
    <row r="28" spans="1:12" ht="21.95" customHeight="1">
      <c r="A28" s="44" t="s">
        <v>2</v>
      </c>
      <c r="B28" s="193">
        <v>1033</v>
      </c>
      <c r="C28" s="13">
        <v>-641.4</v>
      </c>
      <c r="D28" s="13">
        <v>-714.7</v>
      </c>
      <c r="E28" s="13">
        <v>-623</v>
      </c>
      <c r="F28" s="13">
        <v>-714.7</v>
      </c>
      <c r="G28" s="14">
        <f t="shared" si="3"/>
        <v>-91.700000000000045</v>
      </c>
      <c r="H28" s="14">
        <f t="shared" si="4"/>
        <v>114.71910112359551</v>
      </c>
    </row>
    <row r="29" spans="1:12" ht="21.95" customHeight="1">
      <c r="A29" s="44" t="s">
        <v>3</v>
      </c>
      <c r="B29" s="193">
        <v>1034</v>
      </c>
      <c r="C29" s="13">
        <v>-1894.5</v>
      </c>
      <c r="D29" s="13">
        <v>-2589.4</v>
      </c>
      <c r="E29" s="13">
        <v>-1920</v>
      </c>
      <c r="F29" s="13">
        <v>-2589.4</v>
      </c>
      <c r="G29" s="14">
        <f t="shared" si="3"/>
        <v>-669.40000000000009</v>
      </c>
      <c r="H29" s="45"/>
    </row>
    <row r="30" spans="1:12" ht="21.95" customHeight="1">
      <c r="A30" s="44" t="s">
        <v>62</v>
      </c>
      <c r="B30" s="193">
        <v>1035</v>
      </c>
      <c r="C30" s="13">
        <v>-364.6</v>
      </c>
      <c r="D30" s="13">
        <v>-572.4</v>
      </c>
      <c r="E30" s="13">
        <v>-412</v>
      </c>
      <c r="F30" s="13">
        <v>-572.4</v>
      </c>
      <c r="G30" s="14">
        <f t="shared" si="3"/>
        <v>-160.39999999999998</v>
      </c>
      <c r="H30" s="14">
        <f t="shared" si="4"/>
        <v>138.93203883495144</v>
      </c>
    </row>
    <row r="31" spans="1:12" ht="41.25" customHeight="1">
      <c r="A31" s="41" t="s">
        <v>0</v>
      </c>
      <c r="B31" s="193">
        <v>1100</v>
      </c>
      <c r="C31" s="43">
        <f t="shared" ref="C31" si="13">SUM(C15,C16,C22,C25)</f>
        <v>-12734.999999999998</v>
      </c>
      <c r="D31" s="43">
        <f t="shared" ref="D31:F31" si="14">SUM(D15,D16,D22,D25)</f>
        <v>-14510.300000000001</v>
      </c>
      <c r="E31" s="24">
        <f t="shared" ref="E31" si="15">SUM(E15,E16,E22,E25)</f>
        <v>-20311.500000000011</v>
      </c>
      <c r="F31" s="43">
        <f t="shared" si="14"/>
        <v>-14510.300000000001</v>
      </c>
      <c r="G31" s="43">
        <f t="shared" si="3"/>
        <v>5801.2000000000098</v>
      </c>
      <c r="H31" s="43">
        <f t="shared" si="4"/>
        <v>71.438840065972443</v>
      </c>
    </row>
    <row r="32" spans="1:12" ht="21.95" customHeight="1">
      <c r="A32" s="41" t="s">
        <v>212</v>
      </c>
      <c r="B32" s="42">
        <v>1130</v>
      </c>
      <c r="C32" s="43">
        <v>560.29999999999995</v>
      </c>
      <c r="D32" s="43">
        <v>2936.6</v>
      </c>
      <c r="E32" s="256">
        <v>391.5</v>
      </c>
      <c r="F32" s="43">
        <v>2936.6</v>
      </c>
      <c r="G32" s="43">
        <f t="shared" si="3"/>
        <v>2545.1</v>
      </c>
      <c r="H32" s="43">
        <f t="shared" si="4"/>
        <v>750.08939974457212</v>
      </c>
      <c r="I32" s="32"/>
      <c r="J32" s="31"/>
      <c r="K32" s="31"/>
      <c r="L32" s="31"/>
    </row>
    <row r="33" spans="1:14" ht="21.95" customHeight="1">
      <c r="A33" s="46" t="s">
        <v>213</v>
      </c>
      <c r="B33" s="42">
        <v>1140</v>
      </c>
      <c r="C33" s="14"/>
      <c r="D33" s="14"/>
      <c r="E33" s="13" t="s">
        <v>254</v>
      </c>
      <c r="F33" s="14"/>
      <c r="G33" s="64" t="e">
        <f t="shared" si="3"/>
        <v>#VALUE!</v>
      </c>
      <c r="H33" s="14"/>
      <c r="J33" s="31"/>
      <c r="K33" s="31"/>
      <c r="L33" s="31"/>
    </row>
    <row r="34" spans="1:14" ht="21.95" customHeight="1">
      <c r="A34" s="41" t="s">
        <v>214</v>
      </c>
      <c r="B34" s="42">
        <v>1150</v>
      </c>
      <c r="C34" s="24">
        <v>17208.3</v>
      </c>
      <c r="D34" s="24">
        <v>22157.8</v>
      </c>
      <c r="E34" s="256">
        <v>19920</v>
      </c>
      <c r="F34" s="24">
        <v>22157.8</v>
      </c>
      <c r="G34" s="43">
        <f t="shared" si="3"/>
        <v>2237.7999999999993</v>
      </c>
      <c r="H34" s="47">
        <f>(F34/E34)*100</f>
        <v>111.23393574297189</v>
      </c>
      <c r="I34" s="31"/>
      <c r="J34" s="31"/>
      <c r="K34" s="31"/>
      <c r="L34" s="31"/>
    </row>
    <row r="35" spans="1:14" ht="21.95" customHeight="1">
      <c r="A35" s="41" t="s">
        <v>215</v>
      </c>
      <c r="B35" s="42">
        <v>1160</v>
      </c>
      <c r="C35" s="14"/>
      <c r="D35" s="14"/>
      <c r="E35" s="13" t="s">
        <v>254</v>
      </c>
      <c r="F35" s="14"/>
      <c r="G35" s="64" t="e">
        <f t="shared" si="3"/>
        <v>#VALUE!</v>
      </c>
      <c r="H35" s="14"/>
      <c r="J35" s="31"/>
      <c r="K35" s="31"/>
      <c r="L35" s="31"/>
    </row>
    <row r="36" spans="1:14" ht="43.5" customHeight="1">
      <c r="A36" s="41" t="s">
        <v>12</v>
      </c>
      <c r="B36" s="42">
        <v>1170</v>
      </c>
      <c r="C36" s="43">
        <f>SUM(C31, C32:C35)</f>
        <v>5033.6000000000004</v>
      </c>
      <c r="D36" s="43">
        <f>SUM(D31, D32:D35)</f>
        <v>10584.099999999999</v>
      </c>
      <c r="E36" s="24">
        <f>SUM(E31, E32:E35)</f>
        <v>0</v>
      </c>
      <c r="F36" s="43">
        <f>SUM(F31, F32:F35)</f>
        <v>10584.099999999999</v>
      </c>
      <c r="G36" s="43">
        <f t="shared" si="3"/>
        <v>10584.099999999999</v>
      </c>
      <c r="H36" s="151" t="e">
        <f>(F36/E36)*100</f>
        <v>#DIV/0!</v>
      </c>
      <c r="J36" s="31"/>
    </row>
    <row r="37" spans="1:14" ht="24.75" customHeight="1">
      <c r="A37" s="46" t="s">
        <v>24</v>
      </c>
      <c r="B37" s="193">
        <v>1180</v>
      </c>
      <c r="C37" s="14"/>
      <c r="D37" s="14"/>
      <c r="E37" s="13" t="s">
        <v>254</v>
      </c>
      <c r="F37" s="14"/>
      <c r="G37" s="64" t="e">
        <f t="shared" si="3"/>
        <v>#VALUE!</v>
      </c>
      <c r="H37" s="14"/>
    </row>
    <row r="38" spans="1:14" ht="29.25" customHeight="1">
      <c r="A38" s="46" t="s">
        <v>25</v>
      </c>
      <c r="B38" s="193">
        <v>1181</v>
      </c>
      <c r="C38" s="14"/>
      <c r="D38" s="14"/>
      <c r="E38" s="13"/>
      <c r="F38" s="14"/>
      <c r="G38" s="43">
        <f t="shared" si="3"/>
        <v>0</v>
      </c>
      <c r="H38" s="14"/>
    </row>
    <row r="39" spans="1:14" ht="21.95" customHeight="1">
      <c r="A39" s="41" t="s">
        <v>40</v>
      </c>
      <c r="B39" s="193">
        <v>1200</v>
      </c>
      <c r="C39" s="43">
        <f>SUM(C36:C38)</f>
        <v>5033.6000000000004</v>
      </c>
      <c r="D39" s="43">
        <f>SUM(D36:D38)</f>
        <v>10584.099999999999</v>
      </c>
      <c r="E39" s="24">
        <f>SUM(E36:E38)</f>
        <v>0</v>
      </c>
      <c r="F39" s="43">
        <f>SUM(F36:F38)</f>
        <v>10584.099999999999</v>
      </c>
      <c r="G39" s="43">
        <f t="shared" si="3"/>
        <v>10584.099999999999</v>
      </c>
      <c r="H39" s="43" t="e">
        <f t="shared" ref="H39:H40" si="16">(F39/E39)*100</f>
        <v>#DIV/0!</v>
      </c>
    </row>
    <row r="40" spans="1:14" ht="21.95" customHeight="1">
      <c r="A40" s="46" t="s">
        <v>41</v>
      </c>
      <c r="B40" s="193">
        <v>1201</v>
      </c>
      <c r="C40" s="14">
        <f>C42+C43</f>
        <v>5033.5999999999767</v>
      </c>
      <c r="D40" s="14">
        <f>D42+D43</f>
        <v>10584.100000000035</v>
      </c>
      <c r="E40" s="13">
        <f t="shared" ref="E40" si="17">E42+E43</f>
        <v>0</v>
      </c>
      <c r="F40" s="14">
        <f>F42+F43</f>
        <v>10584.100000000035</v>
      </c>
      <c r="G40" s="14">
        <f t="shared" si="3"/>
        <v>10584.100000000035</v>
      </c>
      <c r="H40" s="14" t="e">
        <f t="shared" si="16"/>
        <v>#DIV/0!</v>
      </c>
    </row>
    <row r="41" spans="1:14" ht="21.95" customHeight="1">
      <c r="A41" s="46" t="s">
        <v>42</v>
      </c>
      <c r="B41" s="193">
        <v>1202</v>
      </c>
      <c r="C41" s="14"/>
      <c r="D41" s="14"/>
      <c r="E41" s="13" t="s">
        <v>254</v>
      </c>
      <c r="F41" s="14"/>
      <c r="G41" s="64" t="e">
        <f t="shared" si="3"/>
        <v>#VALUE!</v>
      </c>
      <c r="H41" s="45"/>
    </row>
    <row r="42" spans="1:14" ht="21.95" customHeight="1">
      <c r="A42" s="41" t="s">
        <v>96</v>
      </c>
      <c r="B42" s="42">
        <v>1210</v>
      </c>
      <c r="C42" s="43">
        <f t="shared" ref="C42" si="18">SUM(C8,C22,C32,C34,C38)</f>
        <v>213277.89999999997</v>
      </c>
      <c r="D42" s="43">
        <f t="shared" ref="D42:F42" si="19">SUM(D8,D22,D32,D34,D38)</f>
        <v>270360.60000000003</v>
      </c>
      <c r="E42" s="24">
        <f>SUM(E8,E22,E32,E34,E38)</f>
        <v>210468.19999999998</v>
      </c>
      <c r="F42" s="43">
        <f t="shared" si="19"/>
        <v>270360.60000000003</v>
      </c>
      <c r="G42" s="43">
        <f t="shared" si="3"/>
        <v>59892.400000000052</v>
      </c>
      <c r="H42" s="47">
        <f t="shared" si="4"/>
        <v>128.45674548459104</v>
      </c>
    </row>
    <row r="43" spans="1:14" ht="21.95" customHeight="1">
      <c r="A43" s="41" t="s">
        <v>97</v>
      </c>
      <c r="B43" s="42">
        <v>1220</v>
      </c>
      <c r="C43" s="43">
        <f t="shared" ref="C43" si="20">SUM(C9,C16,C25,C33,C35,C37)</f>
        <v>-208244.3</v>
      </c>
      <c r="D43" s="43">
        <f t="shared" ref="D43:F43" si="21">SUM(D9,D16,D25,D33,D35,D37)</f>
        <v>-259776.5</v>
      </c>
      <c r="E43" s="24">
        <f>SUM(E9,E16,E25,E33,E35,E37)</f>
        <v>-210468.2</v>
      </c>
      <c r="F43" s="43">
        <f t="shared" si="21"/>
        <v>-259776.5</v>
      </c>
      <c r="G43" s="43">
        <f t="shared" si="3"/>
        <v>-49308.299999999988</v>
      </c>
      <c r="H43" s="47">
        <f t="shared" si="4"/>
        <v>123.42790977449324</v>
      </c>
      <c r="I43" s="22"/>
      <c r="J43" s="22"/>
      <c r="K43" s="22"/>
      <c r="L43" s="22"/>
      <c r="M43" s="22"/>
      <c r="N43" s="22"/>
    </row>
    <row r="44" spans="1:14" ht="21.95" customHeight="1">
      <c r="A44" s="298" t="s">
        <v>102</v>
      </c>
      <c r="B44" s="298"/>
      <c r="C44" s="298"/>
      <c r="D44" s="298"/>
      <c r="E44" s="298"/>
      <c r="F44" s="298"/>
      <c r="G44" s="298"/>
      <c r="H44" s="298"/>
      <c r="J44" s="33"/>
    </row>
    <row r="45" spans="1:14" ht="25.5" customHeight="1">
      <c r="A45" s="44" t="s">
        <v>49</v>
      </c>
      <c r="B45" s="192">
        <v>9000</v>
      </c>
      <c r="C45" s="14">
        <f>-C10-C17</f>
        <v>50233.4</v>
      </c>
      <c r="D45" s="14">
        <f>-D10-D17-D26</f>
        <v>81959.5</v>
      </c>
      <c r="E45" s="14">
        <f>-E10-E17</f>
        <v>47867.6</v>
      </c>
      <c r="F45" s="14">
        <f>-F10-F17-F26</f>
        <v>81959.5</v>
      </c>
      <c r="G45" s="14">
        <f t="shared" ref="G45:G50" si="22">F45-E45</f>
        <v>34091.9</v>
      </c>
      <c r="H45" s="14">
        <f t="shared" ref="H45:H50" si="23">(F45/E45)*100</f>
        <v>171.22124359692151</v>
      </c>
      <c r="I45" s="23"/>
      <c r="J45" s="23"/>
      <c r="K45" s="23"/>
      <c r="L45" s="23"/>
    </row>
    <row r="46" spans="1:14" ht="27" customHeight="1">
      <c r="A46" s="44" t="s">
        <v>1</v>
      </c>
      <c r="B46" s="192">
        <v>9010</v>
      </c>
      <c r="C46" s="14">
        <f t="shared" ref="C46:C47" si="24">-C11-C18-C27</f>
        <v>113673.7</v>
      </c>
      <c r="D46" s="14">
        <f t="shared" ref="D46:F47" si="25">-D11-D18-D27</f>
        <v>124661.8</v>
      </c>
      <c r="E46" s="14">
        <f t="shared" si="25"/>
        <v>113732.7</v>
      </c>
      <c r="F46" s="14">
        <f>-F11-F18-F27</f>
        <v>124661.8</v>
      </c>
      <c r="G46" s="14">
        <f t="shared" si="22"/>
        <v>10929.100000000006</v>
      </c>
      <c r="H46" s="14">
        <f t="shared" si="23"/>
        <v>109.60946148293323</v>
      </c>
      <c r="I46" s="23"/>
      <c r="J46" s="23"/>
      <c r="K46" s="23"/>
      <c r="L46" s="23"/>
    </row>
    <row r="47" spans="1:14" ht="24" customHeight="1">
      <c r="A47" s="44" t="s">
        <v>2</v>
      </c>
      <c r="B47" s="192">
        <v>9020</v>
      </c>
      <c r="C47" s="14">
        <f t="shared" si="24"/>
        <v>24466.5</v>
      </c>
      <c r="D47" s="14">
        <f t="shared" si="25"/>
        <v>26787.5</v>
      </c>
      <c r="E47" s="14">
        <f t="shared" si="25"/>
        <v>24543.1</v>
      </c>
      <c r="F47" s="14">
        <f t="shared" si="25"/>
        <v>26787.5</v>
      </c>
      <c r="G47" s="14">
        <f t="shared" si="22"/>
        <v>2244.4000000000015</v>
      </c>
      <c r="H47" s="14">
        <f t="shared" si="23"/>
        <v>109.14472906845509</v>
      </c>
      <c r="I47" s="184"/>
      <c r="J47" s="23"/>
      <c r="K47" s="23"/>
      <c r="L47" s="23"/>
    </row>
    <row r="48" spans="1:14" ht="24.75" customHeight="1">
      <c r="A48" s="44" t="s">
        <v>3</v>
      </c>
      <c r="B48" s="192">
        <v>9030</v>
      </c>
      <c r="C48" s="14">
        <f>-C13-C29</f>
        <v>17203.8</v>
      </c>
      <c r="D48" s="14">
        <f>-D13-D29</f>
        <v>22157.800000000003</v>
      </c>
      <c r="E48" s="14">
        <f>-E13-E29</f>
        <v>21045</v>
      </c>
      <c r="F48" s="14">
        <f>-F13-F29</f>
        <v>22157.800000000003</v>
      </c>
      <c r="G48" s="14">
        <f t="shared" si="22"/>
        <v>1112.8000000000029</v>
      </c>
      <c r="H48" s="14">
        <f t="shared" si="23"/>
        <v>105.28771679733906</v>
      </c>
      <c r="I48" s="23"/>
      <c r="J48" s="23"/>
      <c r="K48" s="23"/>
      <c r="L48" s="23"/>
    </row>
    <row r="49" spans="1:12" ht="24" customHeight="1">
      <c r="A49" s="44" t="s">
        <v>5</v>
      </c>
      <c r="B49" s="192">
        <v>9040</v>
      </c>
      <c r="C49" s="14">
        <f>-C30-C14-C21</f>
        <v>2666.9</v>
      </c>
      <c r="D49" s="14">
        <f>-D30-D14-D21</f>
        <v>4209.8999999999996</v>
      </c>
      <c r="E49" s="14">
        <f>-E30-E14-E21</f>
        <v>3279.7999999999997</v>
      </c>
      <c r="F49" s="14">
        <f>-F30-F14-F21</f>
        <v>4209.8999999999996</v>
      </c>
      <c r="G49" s="14">
        <f t="shared" si="22"/>
        <v>930.09999999999991</v>
      </c>
      <c r="H49" s="14">
        <f t="shared" si="23"/>
        <v>128.35843649002987</v>
      </c>
      <c r="I49" s="23"/>
      <c r="J49" s="23"/>
      <c r="K49" s="23"/>
      <c r="L49" s="23"/>
    </row>
    <row r="50" spans="1:12" ht="27" customHeight="1">
      <c r="A50" s="48" t="s">
        <v>7</v>
      </c>
      <c r="B50" s="195">
        <v>9050</v>
      </c>
      <c r="C50" s="43">
        <f>SUM(C45:C49)</f>
        <v>208244.3</v>
      </c>
      <c r="D50" s="43">
        <f t="shared" ref="D50:F50" si="26">SUM(D45:D49)</f>
        <v>259776.49999999997</v>
      </c>
      <c r="E50" s="43">
        <f t="shared" ref="E50" si="27">SUM(E45:E49)</f>
        <v>210468.19999999998</v>
      </c>
      <c r="F50" s="43">
        <f t="shared" si="26"/>
        <v>259776.49999999997</v>
      </c>
      <c r="G50" s="43">
        <f t="shared" si="22"/>
        <v>49308.299999999988</v>
      </c>
      <c r="H50" s="43">
        <f t="shared" si="23"/>
        <v>123.42790977449324</v>
      </c>
      <c r="I50" s="23"/>
      <c r="J50" s="23"/>
      <c r="K50" s="23"/>
      <c r="L50" s="23"/>
    </row>
    <row r="51" spans="1:12" ht="21.95" customHeight="1">
      <c r="A51" s="293" t="s">
        <v>80</v>
      </c>
      <c r="B51" s="293"/>
      <c r="C51" s="293"/>
      <c r="D51" s="293"/>
      <c r="E51" s="293"/>
      <c r="F51" s="293"/>
      <c r="G51" s="293"/>
      <c r="H51" s="293"/>
      <c r="J51" s="23"/>
    </row>
    <row r="52" spans="1:12" ht="63" customHeight="1">
      <c r="A52" s="49" t="s">
        <v>202</v>
      </c>
      <c r="B52" s="42">
        <v>2110</v>
      </c>
      <c r="C52" s="43">
        <f t="shared" ref="C52:D52" si="28">SUM(C53:C56)</f>
        <v>-1113.5</v>
      </c>
      <c r="D52" s="43">
        <f t="shared" si="28"/>
        <v>-1937.7</v>
      </c>
      <c r="E52" s="43">
        <f t="shared" ref="E52:F52" si="29">SUM(E53:E56)</f>
        <v>-1781</v>
      </c>
      <c r="F52" s="43">
        <f t="shared" si="29"/>
        <v>-1937.7</v>
      </c>
      <c r="G52" s="43">
        <f>F52-E52</f>
        <v>-156.70000000000005</v>
      </c>
      <c r="H52" s="43">
        <f>(F52/E52)*100</f>
        <v>108.79842784952274</v>
      </c>
      <c r="I52" s="23"/>
    </row>
    <row r="53" spans="1:12" ht="42" customHeight="1">
      <c r="A53" s="44" t="s">
        <v>46</v>
      </c>
      <c r="B53" s="193">
        <v>2111</v>
      </c>
      <c r="C53" s="14">
        <v>-24.5</v>
      </c>
      <c r="D53" s="13">
        <v>-47.5</v>
      </c>
      <c r="E53" s="13">
        <v>-75</v>
      </c>
      <c r="F53" s="13">
        <v>-47.5</v>
      </c>
      <c r="G53" s="14">
        <f t="shared" ref="G53:G68" si="30">F53-E53</f>
        <v>27.5</v>
      </c>
      <c r="H53" s="14">
        <f>(F53/E53)*100</f>
        <v>63.333333333333329</v>
      </c>
    </row>
    <row r="54" spans="1:12" ht="40.5" customHeight="1">
      <c r="A54" s="50" t="s">
        <v>47</v>
      </c>
      <c r="B54" s="193">
        <v>2112</v>
      </c>
      <c r="C54" s="14"/>
      <c r="D54" s="14"/>
      <c r="E54" s="14"/>
      <c r="F54" s="14"/>
      <c r="G54" s="14">
        <f t="shared" si="30"/>
        <v>0</v>
      </c>
      <c r="H54" s="45"/>
    </row>
    <row r="55" spans="1:12" ht="24.75" customHeight="1">
      <c r="A55" s="44" t="s">
        <v>54</v>
      </c>
      <c r="B55" s="193">
        <v>2113</v>
      </c>
      <c r="C55" s="13">
        <v>-1089</v>
      </c>
      <c r="D55" s="13">
        <v>-1890.2</v>
      </c>
      <c r="E55" s="13">
        <v>-1706</v>
      </c>
      <c r="F55" s="13">
        <v>-1890.2</v>
      </c>
      <c r="G55" s="14">
        <f t="shared" si="30"/>
        <v>-184.20000000000005</v>
      </c>
      <c r="H55" s="14">
        <f t="shared" ref="H55:H68" si="31">(F55/E55)*100</f>
        <v>110.79718640093787</v>
      </c>
      <c r="I55" s="191">
        <v>1.4999999999999999E-2</v>
      </c>
    </row>
    <row r="56" spans="1:12" ht="24.75" customHeight="1">
      <c r="A56" s="44" t="s">
        <v>35</v>
      </c>
      <c r="B56" s="193">
        <v>2114</v>
      </c>
      <c r="C56" s="14"/>
      <c r="D56" s="14"/>
      <c r="E56" s="14"/>
      <c r="F56" s="14"/>
      <c r="G56" s="43">
        <f t="shared" si="30"/>
        <v>0</v>
      </c>
      <c r="H56" s="45"/>
    </row>
    <row r="57" spans="1:12" ht="41.25" customHeight="1">
      <c r="A57" s="51" t="s">
        <v>51</v>
      </c>
      <c r="B57" s="195">
        <v>2120</v>
      </c>
      <c r="C57" s="43">
        <f>SUM(C58:C63)</f>
        <v>-13068.8</v>
      </c>
      <c r="D57" s="43">
        <f>SUM(D58:D63)</f>
        <v>-22673</v>
      </c>
      <c r="E57" s="43">
        <f>SUM(E58:E63)</f>
        <v>-20471.900000000001</v>
      </c>
      <c r="F57" s="43">
        <f>SUM(F58:F63)</f>
        <v>-22673</v>
      </c>
      <c r="G57" s="43">
        <f t="shared" si="30"/>
        <v>-2201.0999999999985</v>
      </c>
      <c r="H57" s="43">
        <f t="shared" si="31"/>
        <v>110.75181101900652</v>
      </c>
    </row>
    <row r="58" spans="1:12" ht="27" customHeight="1">
      <c r="A58" s="50" t="s">
        <v>34</v>
      </c>
      <c r="B58" s="192">
        <v>2121</v>
      </c>
      <c r="C58" s="14"/>
      <c r="D58" s="14"/>
      <c r="E58" s="14"/>
      <c r="F58" s="14"/>
      <c r="G58" s="43">
        <f t="shared" si="30"/>
        <v>0</v>
      </c>
      <c r="H58" s="45"/>
    </row>
    <row r="59" spans="1:12" ht="27" customHeight="1">
      <c r="A59" s="44" t="s">
        <v>11</v>
      </c>
      <c r="B59" s="192">
        <v>2122</v>
      </c>
      <c r="C59" s="13">
        <v>-13068.8</v>
      </c>
      <c r="D59" s="13">
        <v>-22673</v>
      </c>
      <c r="E59" s="13">
        <v>-20471.900000000001</v>
      </c>
      <c r="F59" s="13">
        <v>-22673</v>
      </c>
      <c r="G59" s="14">
        <f t="shared" si="30"/>
        <v>-2201.0999999999985</v>
      </c>
      <c r="H59" s="14">
        <f t="shared" si="31"/>
        <v>110.75181101900652</v>
      </c>
      <c r="I59" s="190">
        <v>0.18</v>
      </c>
    </row>
    <row r="60" spans="1:12" ht="21.95" customHeight="1">
      <c r="A60" s="44" t="s">
        <v>38</v>
      </c>
      <c r="B60" s="192">
        <v>2123</v>
      </c>
      <c r="C60" s="14"/>
      <c r="D60" s="14"/>
      <c r="E60" s="14"/>
      <c r="F60" s="14"/>
      <c r="G60" s="43">
        <f t="shared" si="30"/>
        <v>0</v>
      </c>
      <c r="H60" s="45"/>
    </row>
    <row r="61" spans="1:12" ht="25.5" customHeight="1">
      <c r="A61" s="44" t="s">
        <v>39</v>
      </c>
      <c r="B61" s="192">
        <v>2124</v>
      </c>
      <c r="C61" s="14"/>
      <c r="D61" s="14"/>
      <c r="E61" s="14"/>
      <c r="F61" s="14"/>
      <c r="G61" s="43">
        <f t="shared" si="30"/>
        <v>0</v>
      </c>
      <c r="H61" s="45"/>
    </row>
    <row r="62" spans="1:12" ht="80.25" customHeight="1">
      <c r="A62" s="44" t="s">
        <v>98</v>
      </c>
      <c r="B62" s="192">
        <v>2125</v>
      </c>
      <c r="C62" s="14"/>
      <c r="D62" s="14"/>
      <c r="E62" s="14"/>
      <c r="F62" s="14"/>
      <c r="G62" s="43">
        <f t="shared" si="30"/>
        <v>0</v>
      </c>
      <c r="H62" s="45"/>
    </row>
    <row r="63" spans="1:12" ht="22.5" customHeight="1">
      <c r="A63" s="44" t="s">
        <v>35</v>
      </c>
      <c r="B63" s="192">
        <v>2126</v>
      </c>
      <c r="C63" s="14"/>
      <c r="D63" s="14"/>
      <c r="E63" s="14"/>
      <c r="F63" s="14"/>
      <c r="G63" s="43">
        <f t="shared" si="30"/>
        <v>0</v>
      </c>
      <c r="H63" s="45"/>
    </row>
    <row r="64" spans="1:12" ht="44.25" customHeight="1">
      <c r="A64" s="49" t="s">
        <v>52</v>
      </c>
      <c r="B64" s="195">
        <v>2130</v>
      </c>
      <c r="C64" s="43">
        <f t="shared" ref="C64:D64" si="32">SUM(C65:C67)</f>
        <v>-16228.900000000001</v>
      </c>
      <c r="D64" s="43">
        <f t="shared" si="32"/>
        <v>-27937.4</v>
      </c>
      <c r="E64" s="43">
        <f t="shared" ref="E64:F64" si="33">SUM(E65:E67)</f>
        <v>-25680.399999999998</v>
      </c>
      <c r="F64" s="43">
        <f t="shared" si="33"/>
        <v>-27937.4</v>
      </c>
      <c r="G64" s="43">
        <f t="shared" si="30"/>
        <v>-2257.0000000000036</v>
      </c>
      <c r="H64" s="43">
        <f t="shared" si="31"/>
        <v>108.78880391271166</v>
      </c>
    </row>
    <row r="65" spans="1:9" ht="24" customHeight="1">
      <c r="A65" s="44" t="s">
        <v>36</v>
      </c>
      <c r="B65" s="192">
        <v>2131</v>
      </c>
      <c r="C65" s="14"/>
      <c r="D65" s="14"/>
      <c r="E65" s="14"/>
      <c r="F65" s="14"/>
      <c r="G65" s="43">
        <f t="shared" si="30"/>
        <v>0</v>
      </c>
      <c r="H65" s="45"/>
    </row>
    <row r="66" spans="1:9" ht="41.25" customHeight="1">
      <c r="A66" s="44" t="s">
        <v>37</v>
      </c>
      <c r="B66" s="192">
        <v>2132</v>
      </c>
      <c r="C66" s="13">
        <v>-15561.2</v>
      </c>
      <c r="D66" s="13">
        <v>-26787.5</v>
      </c>
      <c r="E66" s="13">
        <v>-24543.1</v>
      </c>
      <c r="F66" s="13">
        <v>-26787.5</v>
      </c>
      <c r="G66" s="14">
        <f t="shared" si="30"/>
        <v>-2244.4000000000015</v>
      </c>
      <c r="H66" s="14">
        <f t="shared" si="31"/>
        <v>109.14472906845509</v>
      </c>
    </row>
    <row r="67" spans="1:9" ht="39" customHeight="1">
      <c r="A67" s="44" t="s">
        <v>199</v>
      </c>
      <c r="B67" s="192">
        <v>2133</v>
      </c>
      <c r="C67" s="13">
        <v>-667.7</v>
      </c>
      <c r="D67" s="13">
        <v>-1149.9000000000001</v>
      </c>
      <c r="E67" s="13">
        <v>-1137.3</v>
      </c>
      <c r="F67" s="13">
        <v>-1149.9000000000001</v>
      </c>
      <c r="G67" s="14">
        <f t="shared" si="30"/>
        <v>-12.600000000000136</v>
      </c>
      <c r="H67" s="14">
        <f t="shared" si="31"/>
        <v>101.10788710102877</v>
      </c>
      <c r="I67" s="190">
        <v>0.01</v>
      </c>
    </row>
    <row r="68" spans="1:9" ht="27" customHeight="1">
      <c r="A68" s="51" t="s">
        <v>48</v>
      </c>
      <c r="B68" s="195">
        <v>2200</v>
      </c>
      <c r="C68" s="43">
        <f>SUM(C52+C57+C64)</f>
        <v>-30411.200000000001</v>
      </c>
      <c r="D68" s="43">
        <f>SUM(D52+D57+D64)</f>
        <v>-52548.100000000006</v>
      </c>
      <c r="E68" s="43">
        <f>SUM(E52+E57+E64)</f>
        <v>-47933.3</v>
      </c>
      <c r="F68" s="43">
        <f>SUM(F52+F57+F64)</f>
        <v>-52548.100000000006</v>
      </c>
      <c r="G68" s="43">
        <f t="shared" si="30"/>
        <v>-4614.8000000000029</v>
      </c>
      <c r="H68" s="43">
        <f t="shared" si="31"/>
        <v>109.62754494265991</v>
      </c>
    </row>
    <row r="69" spans="1:9" ht="24" customHeight="1">
      <c r="A69" s="294" t="s">
        <v>81</v>
      </c>
      <c r="B69" s="294"/>
      <c r="C69" s="294"/>
      <c r="D69" s="294"/>
      <c r="E69" s="294"/>
      <c r="F69" s="294"/>
      <c r="G69" s="294"/>
      <c r="H69" s="294"/>
    </row>
    <row r="70" spans="1:9" ht="27.75" customHeight="1">
      <c r="A70" s="41" t="s">
        <v>16</v>
      </c>
      <c r="B70" s="42">
        <v>4000</v>
      </c>
      <c r="C70" s="43">
        <f>SUM(C71:C77)</f>
        <v>-146087.1</v>
      </c>
      <c r="D70" s="43">
        <f>SUM(D71:D77)</f>
        <v>-16604.3</v>
      </c>
      <c r="E70" s="43">
        <f>SUM(E71:E77)</f>
        <v>-7769.5</v>
      </c>
      <c r="F70" s="43">
        <f>SUM(F71:F77)</f>
        <v>-16604.3</v>
      </c>
      <c r="G70" s="43">
        <f>F70-(-E70)</f>
        <v>-24373.8</v>
      </c>
      <c r="H70" s="64">
        <f>(F70/E70)*100</f>
        <v>213.71130703391466</v>
      </c>
    </row>
    <row r="71" spans="1:9" ht="24.75" customHeight="1">
      <c r="A71" s="44" t="s">
        <v>55</v>
      </c>
      <c r="B71" s="193">
        <v>4010</v>
      </c>
      <c r="C71" s="14"/>
      <c r="D71" s="14"/>
      <c r="E71" s="14"/>
      <c r="F71" s="14"/>
      <c r="G71" s="43">
        <f t="shared" ref="G71:G77" si="34">F71-E71</f>
        <v>0</v>
      </c>
      <c r="H71" s="14"/>
    </row>
    <row r="72" spans="1:9" ht="42.75" customHeight="1">
      <c r="A72" s="44" t="s">
        <v>216</v>
      </c>
      <c r="B72" s="193">
        <v>4020</v>
      </c>
      <c r="C72" s="14">
        <v>-20883</v>
      </c>
      <c r="D72" s="14">
        <v>-12459.1</v>
      </c>
      <c r="E72" s="14">
        <v>-3238</v>
      </c>
      <c r="F72" s="14">
        <f>D72</f>
        <v>-12459.1</v>
      </c>
      <c r="G72" s="43">
        <f>F72-(-E72)</f>
        <v>-15697.1</v>
      </c>
      <c r="H72" s="63">
        <f t="shared" ref="H72" si="35">(F72/E72)*100</f>
        <v>384.77764051883878</v>
      </c>
    </row>
    <row r="73" spans="1:9" ht="57.75" customHeight="1">
      <c r="A73" s="44" t="s">
        <v>63</v>
      </c>
      <c r="B73" s="193">
        <v>4030</v>
      </c>
      <c r="C73" s="14"/>
      <c r="D73" s="14"/>
      <c r="E73" s="14"/>
      <c r="F73" s="14"/>
      <c r="G73" s="43">
        <f t="shared" si="34"/>
        <v>0</v>
      </c>
      <c r="H73" s="45"/>
    </row>
    <row r="74" spans="1:9" ht="42" customHeight="1">
      <c r="A74" s="44" t="s">
        <v>217</v>
      </c>
      <c r="B74" s="193">
        <v>4040</v>
      </c>
      <c r="C74" s="14"/>
      <c r="D74" s="14"/>
      <c r="E74" s="14"/>
      <c r="F74" s="14"/>
      <c r="G74" s="43">
        <f t="shared" si="34"/>
        <v>0</v>
      </c>
      <c r="H74" s="45"/>
    </row>
    <row r="75" spans="1:9" ht="61.5" customHeight="1">
      <c r="A75" s="44" t="s">
        <v>56</v>
      </c>
      <c r="B75" s="193">
        <v>4050</v>
      </c>
      <c r="C75" s="14">
        <v>-125204.1</v>
      </c>
      <c r="D75" s="149">
        <v>-1204.3</v>
      </c>
      <c r="E75" s="14"/>
      <c r="F75" s="14">
        <f>D75</f>
        <v>-1204.3</v>
      </c>
      <c r="G75" s="43">
        <f>F75-(-E75)</f>
        <v>-1204.3</v>
      </c>
      <c r="H75" s="45"/>
    </row>
    <row r="76" spans="1:9" ht="24" customHeight="1">
      <c r="A76" s="44" t="s">
        <v>57</v>
      </c>
      <c r="B76" s="193">
        <v>4060</v>
      </c>
      <c r="C76" s="14" t="s">
        <v>235</v>
      </c>
      <c r="D76" s="14">
        <v>-2940.9</v>
      </c>
      <c r="E76" s="14">
        <v>-4531.5</v>
      </c>
      <c r="F76" s="14">
        <f>D76</f>
        <v>-2940.9</v>
      </c>
      <c r="G76" s="43">
        <f>F76-(-E76)</f>
        <v>-7472.4</v>
      </c>
      <c r="H76" s="45"/>
    </row>
    <row r="77" spans="1:9" ht="24.75" customHeight="1">
      <c r="A77" s="44" t="s">
        <v>44</v>
      </c>
      <c r="B77" s="193">
        <v>4070</v>
      </c>
      <c r="C77" s="14"/>
      <c r="D77" s="14"/>
      <c r="E77" s="14"/>
      <c r="F77" s="14"/>
      <c r="G77" s="43">
        <f t="shared" si="34"/>
        <v>0</v>
      </c>
      <c r="H77" s="45"/>
    </row>
    <row r="78" spans="1:9" ht="21.95" customHeight="1">
      <c r="A78" s="293" t="s">
        <v>82</v>
      </c>
      <c r="B78" s="293"/>
      <c r="C78" s="293"/>
      <c r="D78" s="293"/>
      <c r="E78" s="293"/>
      <c r="F78" s="293"/>
      <c r="G78" s="293"/>
      <c r="H78" s="293"/>
    </row>
    <row r="79" spans="1:9" ht="58.5" customHeight="1">
      <c r="A79" s="295" t="s">
        <v>20</v>
      </c>
      <c r="B79" s="296" t="s">
        <v>4</v>
      </c>
      <c r="C79" s="296" t="s">
        <v>101</v>
      </c>
      <c r="D79" s="296"/>
      <c r="E79" s="296" t="s">
        <v>389</v>
      </c>
      <c r="F79" s="296" t="s">
        <v>390</v>
      </c>
      <c r="G79" s="296" t="s">
        <v>91</v>
      </c>
      <c r="H79" s="296" t="s">
        <v>91</v>
      </c>
    </row>
    <row r="80" spans="1:9" ht="45" customHeight="1">
      <c r="A80" s="295"/>
      <c r="B80" s="296"/>
      <c r="C80" s="192" t="s">
        <v>385</v>
      </c>
      <c r="D80" s="192" t="s">
        <v>386</v>
      </c>
      <c r="E80" s="296"/>
      <c r="F80" s="296"/>
      <c r="G80" s="296"/>
      <c r="H80" s="296"/>
    </row>
    <row r="81" spans="1:10" s="34" customFormat="1" ht="83.25" customHeight="1">
      <c r="A81" s="51" t="s">
        <v>218</v>
      </c>
      <c r="B81" s="52" t="s">
        <v>26</v>
      </c>
      <c r="C81" s="25">
        <f>SUM(C82:C84)</f>
        <v>727</v>
      </c>
      <c r="D81" s="25">
        <f t="shared" ref="D81:F81" si="36">SUM(D82:D84)</f>
        <v>743</v>
      </c>
      <c r="E81" s="53">
        <f t="shared" ref="E81" si="37">SUM(E82:E84)</f>
        <v>729</v>
      </c>
      <c r="F81" s="25">
        <f t="shared" si="36"/>
        <v>743</v>
      </c>
      <c r="G81" s="53">
        <f>F81-E81</f>
        <v>14</v>
      </c>
      <c r="H81" s="43">
        <f>F81/E81*100</f>
        <v>101.92043895747599</v>
      </c>
      <c r="I81" s="30"/>
    </row>
    <row r="82" spans="1:10" ht="21.95" customHeight="1">
      <c r="A82" s="46" t="s">
        <v>18</v>
      </c>
      <c r="B82" s="193" t="s">
        <v>27</v>
      </c>
      <c r="C82" s="13">
        <v>1</v>
      </c>
      <c r="D82" s="13">
        <v>1</v>
      </c>
      <c r="E82" s="257">
        <v>1</v>
      </c>
      <c r="F82" s="13">
        <v>1</v>
      </c>
      <c r="G82" s="14">
        <f t="shared" ref="G82:G96" si="38">F82-E82</f>
        <v>0</v>
      </c>
      <c r="H82" s="14">
        <f t="shared" ref="H82:H96" si="39">F82/E82*100</f>
        <v>100</v>
      </c>
    </row>
    <row r="83" spans="1:10" ht="21.95" customHeight="1">
      <c r="A83" s="46" t="s">
        <v>21</v>
      </c>
      <c r="B83" s="193" t="s">
        <v>28</v>
      </c>
      <c r="C83" s="13">
        <v>27</v>
      </c>
      <c r="D83" s="13">
        <v>25</v>
      </c>
      <c r="E83" s="257">
        <v>27</v>
      </c>
      <c r="F83" s="13">
        <v>25</v>
      </c>
      <c r="G83" s="14">
        <f t="shared" si="38"/>
        <v>-2</v>
      </c>
      <c r="H83" s="14">
        <f t="shared" si="39"/>
        <v>92.592592592592595</v>
      </c>
    </row>
    <row r="84" spans="1:10" ht="21.95" customHeight="1">
      <c r="A84" s="46" t="s">
        <v>19</v>
      </c>
      <c r="B84" s="193" t="s">
        <v>29</v>
      </c>
      <c r="C84" s="13">
        <v>699</v>
      </c>
      <c r="D84" s="13">
        <v>717</v>
      </c>
      <c r="E84" s="257">
        <v>701</v>
      </c>
      <c r="F84" s="13">
        <v>717</v>
      </c>
      <c r="G84" s="14">
        <f t="shared" si="38"/>
        <v>16</v>
      </c>
      <c r="H84" s="14">
        <f t="shared" si="39"/>
        <v>102.28245363766048</v>
      </c>
    </row>
    <row r="85" spans="1:10" ht="21.95" customHeight="1">
      <c r="A85" s="41" t="s">
        <v>64</v>
      </c>
      <c r="B85" s="42" t="s">
        <v>30</v>
      </c>
      <c r="C85" s="43">
        <f>SUM(C86:C88)</f>
        <v>72148.099999999991</v>
      </c>
      <c r="D85" s="43">
        <f>SUM(D86:D88)</f>
        <v>124661.8</v>
      </c>
      <c r="E85" s="43">
        <f t="shared" ref="E85" si="40">SUM(E86:E88)</f>
        <v>114040.8</v>
      </c>
      <c r="F85" s="43">
        <f>SUM(F86:F88)</f>
        <v>124661.8</v>
      </c>
      <c r="G85" s="24">
        <f t="shared" si="38"/>
        <v>10621</v>
      </c>
      <c r="H85" s="43">
        <f t="shared" si="39"/>
        <v>109.31333347363399</v>
      </c>
    </row>
    <row r="86" spans="1:10" ht="21.95" customHeight="1">
      <c r="A86" s="46" t="s">
        <v>18</v>
      </c>
      <c r="B86" s="193">
        <v>8011</v>
      </c>
      <c r="C86" s="14">
        <v>386.1</v>
      </c>
      <c r="D86" s="14">
        <v>510</v>
      </c>
      <c r="E86" s="13">
        <v>526.4</v>
      </c>
      <c r="F86" s="14">
        <v>510</v>
      </c>
      <c r="G86" s="14">
        <f t="shared" si="38"/>
        <v>-16.399999999999977</v>
      </c>
      <c r="H86" s="14">
        <f t="shared" si="39"/>
        <v>96.884498480243167</v>
      </c>
      <c r="I86" s="33"/>
    </row>
    <row r="87" spans="1:10" ht="21.95" customHeight="1">
      <c r="A87" s="46" t="s">
        <v>21</v>
      </c>
      <c r="B87" s="193">
        <v>8012</v>
      </c>
      <c r="C87" s="13">
        <v>3916.1</v>
      </c>
      <c r="D87" s="13">
        <v>8237.1</v>
      </c>
      <c r="E87" s="13">
        <v>6598.6</v>
      </c>
      <c r="F87" s="13">
        <v>8237.1</v>
      </c>
      <c r="G87" s="14">
        <f t="shared" si="38"/>
        <v>1638.5</v>
      </c>
      <c r="H87" s="14">
        <f t="shared" si="39"/>
        <v>124.83102476282848</v>
      </c>
    </row>
    <row r="88" spans="1:10" ht="21.95" customHeight="1">
      <c r="A88" s="46" t="s">
        <v>19</v>
      </c>
      <c r="B88" s="193">
        <v>8013</v>
      </c>
      <c r="C88" s="13">
        <v>67845.899999999994</v>
      </c>
      <c r="D88" s="13">
        <v>115914.7</v>
      </c>
      <c r="E88" s="13">
        <v>106915.8</v>
      </c>
      <c r="F88" s="13">
        <v>115914.7</v>
      </c>
      <c r="G88" s="14">
        <f t="shared" si="38"/>
        <v>8998.8999999999942</v>
      </c>
      <c r="H88" s="14">
        <f t="shared" si="39"/>
        <v>108.41681023758882</v>
      </c>
      <c r="J88" s="33"/>
    </row>
    <row r="89" spans="1:10" ht="21.95" customHeight="1">
      <c r="A89" s="41" t="s">
        <v>1</v>
      </c>
      <c r="B89" s="42">
        <v>8020</v>
      </c>
      <c r="C89" s="24">
        <f t="shared" ref="C89" si="41">SUM(C90:C92)</f>
        <v>72148.099999999991</v>
      </c>
      <c r="D89" s="24">
        <f t="shared" ref="D89" si="42">SUM(D90:D92)</f>
        <v>82082.5</v>
      </c>
      <c r="E89" s="24">
        <f t="shared" ref="E89:F89" si="43">SUM(E90:E92)</f>
        <v>114040.8</v>
      </c>
      <c r="F89" s="24">
        <f t="shared" si="43"/>
        <v>82082.5</v>
      </c>
      <c r="G89" s="43">
        <f t="shared" si="38"/>
        <v>-31958.300000000003</v>
      </c>
      <c r="H89" s="43">
        <f t="shared" si="39"/>
        <v>71.97643299591023</v>
      </c>
      <c r="J89" s="33"/>
    </row>
    <row r="90" spans="1:10" ht="21.95" customHeight="1">
      <c r="A90" s="46" t="s">
        <v>18</v>
      </c>
      <c r="B90" s="193">
        <v>8021</v>
      </c>
      <c r="C90" s="14">
        <v>386.1</v>
      </c>
      <c r="D90" s="14">
        <v>320.60000000000002</v>
      </c>
      <c r="E90" s="13">
        <v>526.4</v>
      </c>
      <c r="F90" s="14">
        <v>320.60000000000002</v>
      </c>
      <c r="G90" s="14">
        <f t="shared" si="38"/>
        <v>-205.79999999999995</v>
      </c>
      <c r="H90" s="14">
        <f t="shared" si="39"/>
        <v>60.904255319148945</v>
      </c>
    </row>
    <row r="91" spans="1:10" ht="21.95" customHeight="1">
      <c r="A91" s="46" t="s">
        <v>21</v>
      </c>
      <c r="B91" s="193">
        <v>8022</v>
      </c>
      <c r="C91" s="13">
        <v>3916.1</v>
      </c>
      <c r="D91" s="13">
        <v>5399.1</v>
      </c>
      <c r="E91" s="13">
        <v>6598.6</v>
      </c>
      <c r="F91" s="13">
        <v>5399.1</v>
      </c>
      <c r="G91" s="14">
        <f t="shared" si="38"/>
        <v>-1199.5</v>
      </c>
      <c r="H91" s="14">
        <f t="shared" si="39"/>
        <v>81.821901615494198</v>
      </c>
    </row>
    <row r="92" spans="1:10" ht="21.95" customHeight="1">
      <c r="A92" s="46" t="s">
        <v>19</v>
      </c>
      <c r="B92" s="193">
        <v>8023</v>
      </c>
      <c r="C92" s="13">
        <v>67845.899999999994</v>
      </c>
      <c r="D92" s="13">
        <v>76362.8</v>
      </c>
      <c r="E92" s="13">
        <v>106915.8</v>
      </c>
      <c r="F92" s="13">
        <v>76362.8</v>
      </c>
      <c r="G92" s="14">
        <f t="shared" si="38"/>
        <v>-30553</v>
      </c>
      <c r="H92" s="14">
        <f t="shared" si="39"/>
        <v>71.42330693873123</v>
      </c>
    </row>
    <row r="93" spans="1:10" s="34" customFormat="1" ht="39.75" customHeight="1">
      <c r="A93" s="51" t="s">
        <v>43</v>
      </c>
      <c r="B93" s="52" t="s">
        <v>65</v>
      </c>
      <c r="C93" s="54">
        <f t="shared" ref="C93:D96" si="44">(C89/C81)/6*1000</f>
        <v>16540.142136634568</v>
      </c>
      <c r="D93" s="54">
        <f t="shared" si="44"/>
        <v>18412.404665769405</v>
      </c>
      <c r="E93" s="54">
        <f t="shared" ref="E93:F96" si="45">(E89/E81)/6*1000</f>
        <v>26072.427983539095</v>
      </c>
      <c r="F93" s="54">
        <f t="shared" si="45"/>
        <v>18412.404665769405</v>
      </c>
      <c r="G93" s="53">
        <f t="shared" si="38"/>
        <v>-7660.02331776969</v>
      </c>
      <c r="H93" s="53">
        <f t="shared" si="39"/>
        <v>70.620214877548534</v>
      </c>
    </row>
    <row r="94" spans="1:10" ht="21.95" customHeight="1">
      <c r="A94" s="46" t="s">
        <v>18</v>
      </c>
      <c r="B94" s="193">
        <v>8031</v>
      </c>
      <c r="C94" s="29">
        <f t="shared" si="44"/>
        <v>64350.000000000007</v>
      </c>
      <c r="D94" s="29">
        <f t="shared" si="44"/>
        <v>53433.333333333336</v>
      </c>
      <c r="E94" s="29">
        <f>(E90/E82)/9*1000</f>
        <v>58488.888888888891</v>
      </c>
      <c r="F94" s="29">
        <f t="shared" si="45"/>
        <v>53433.333333333336</v>
      </c>
      <c r="G94" s="55">
        <f t="shared" si="38"/>
        <v>-5055.5555555555547</v>
      </c>
      <c r="H94" s="55">
        <f t="shared" si="39"/>
        <v>91.356382978723403</v>
      </c>
    </row>
    <row r="95" spans="1:10" ht="21.95" customHeight="1">
      <c r="A95" s="46" t="s">
        <v>21</v>
      </c>
      <c r="B95" s="193">
        <v>8032</v>
      </c>
      <c r="C95" s="29">
        <f t="shared" si="44"/>
        <v>24173.456790123455</v>
      </c>
      <c r="D95" s="29">
        <f t="shared" si="44"/>
        <v>35994.000000000007</v>
      </c>
      <c r="E95" s="29">
        <f>(E91/E83)/9*1000</f>
        <v>27154.732510288068</v>
      </c>
      <c r="F95" s="29">
        <f t="shared" si="45"/>
        <v>35994.000000000007</v>
      </c>
      <c r="G95" s="55">
        <f t="shared" si="38"/>
        <v>8839.2674897119396</v>
      </c>
      <c r="H95" s="55">
        <f t="shared" si="39"/>
        <v>132.55148061710062</v>
      </c>
    </row>
    <row r="96" spans="1:10" ht="21.95" customHeight="1">
      <c r="A96" s="46" t="s">
        <v>19</v>
      </c>
      <c r="B96" s="193">
        <v>8033</v>
      </c>
      <c r="C96" s="29">
        <f t="shared" si="44"/>
        <v>16176.895565092987</v>
      </c>
      <c r="D96" s="29">
        <f t="shared" si="44"/>
        <v>17750.534635053467</v>
      </c>
      <c r="E96" s="29">
        <f>(E92/E84)/9*1000</f>
        <v>16946.552543984784</v>
      </c>
      <c r="F96" s="29">
        <f t="shared" si="45"/>
        <v>17750.534635053467</v>
      </c>
      <c r="G96" s="55">
        <f t="shared" si="38"/>
        <v>803.98209106868308</v>
      </c>
      <c r="H96" s="55">
        <f t="shared" si="39"/>
        <v>104.74422210052425</v>
      </c>
    </row>
    <row r="97" spans="1:8" s="34" customFormat="1" ht="120.75" customHeight="1">
      <c r="A97" s="56" t="s">
        <v>208</v>
      </c>
      <c r="B97" s="57"/>
      <c r="C97" s="148"/>
      <c r="D97" s="301"/>
      <c r="E97" s="301"/>
      <c r="F97" s="58"/>
      <c r="G97" s="300" t="s">
        <v>237</v>
      </c>
      <c r="H97" s="300"/>
    </row>
    <row r="98" spans="1:8" s="34" customFormat="1" ht="29.25" customHeight="1">
      <c r="A98" s="194" t="s">
        <v>8</v>
      </c>
      <c r="B98" s="59"/>
      <c r="D98" s="302" t="s">
        <v>9</v>
      </c>
      <c r="E98" s="302"/>
      <c r="F98" s="60"/>
      <c r="G98" s="299" t="s">
        <v>13</v>
      </c>
      <c r="H98" s="299"/>
    </row>
    <row r="99" spans="1:8" s="34" customFormat="1">
      <c r="A99" s="2"/>
      <c r="E99" s="1"/>
      <c r="F99" s="1"/>
      <c r="G99" s="1"/>
      <c r="H99" s="1"/>
    </row>
    <row r="100" spans="1:8" s="34" customFormat="1">
      <c r="A100" s="2"/>
      <c r="E100" s="1"/>
      <c r="F100" s="1"/>
      <c r="G100" s="1"/>
      <c r="H100" s="1"/>
    </row>
    <row r="101" spans="1:8" s="34" customFormat="1">
      <c r="A101" s="2"/>
      <c r="E101" s="1"/>
      <c r="F101" s="1"/>
      <c r="G101" s="1"/>
      <c r="H101" s="1"/>
    </row>
    <row r="102" spans="1:8" s="34" customFormat="1">
      <c r="A102" s="2"/>
      <c r="E102" s="1"/>
      <c r="F102" s="1"/>
      <c r="G102" s="1"/>
      <c r="H102" s="1"/>
    </row>
    <row r="103" spans="1:8" s="34" customFormat="1">
      <c r="A103" s="2"/>
      <c r="E103" s="1"/>
      <c r="F103" s="1"/>
      <c r="G103" s="1"/>
      <c r="H103" s="1"/>
    </row>
    <row r="104" spans="1:8" s="34" customFormat="1">
      <c r="A104" s="2"/>
      <c r="E104" s="1"/>
      <c r="F104" s="1"/>
      <c r="G104" s="1"/>
      <c r="H104" s="1"/>
    </row>
    <row r="105" spans="1:8" s="34" customFormat="1">
      <c r="A105" s="2"/>
      <c r="E105" s="1"/>
      <c r="F105" s="1"/>
      <c r="G105" s="1"/>
      <c r="H105" s="1"/>
    </row>
    <row r="106" spans="1:8" s="34" customFormat="1">
      <c r="A106" s="2"/>
      <c r="E106" s="1"/>
      <c r="F106" s="1"/>
      <c r="G106" s="1"/>
      <c r="H106" s="1"/>
    </row>
    <row r="107" spans="1:8" s="34" customFormat="1">
      <c r="A107" s="2"/>
      <c r="E107" s="1"/>
      <c r="F107" s="1"/>
      <c r="G107" s="1"/>
      <c r="H107" s="1"/>
    </row>
    <row r="108" spans="1:8" s="34" customFormat="1">
      <c r="A108" s="2"/>
      <c r="E108" s="1"/>
      <c r="F108" s="1"/>
      <c r="G108" s="1"/>
      <c r="H108" s="1"/>
    </row>
    <row r="109" spans="1:8" s="34" customFormat="1">
      <c r="A109" s="2"/>
      <c r="E109" s="1"/>
      <c r="F109" s="1"/>
      <c r="G109" s="1"/>
      <c r="H109" s="1"/>
    </row>
    <row r="110" spans="1:8" s="34" customFormat="1">
      <c r="A110" s="2"/>
      <c r="E110" s="1"/>
      <c r="F110" s="1"/>
      <c r="G110" s="1"/>
      <c r="H110" s="1"/>
    </row>
    <row r="111" spans="1:8" s="34" customFormat="1">
      <c r="A111" s="2"/>
      <c r="E111" s="1"/>
      <c r="F111" s="1"/>
      <c r="G111" s="1"/>
      <c r="H111" s="1"/>
    </row>
    <row r="112" spans="1:8" s="34" customFormat="1">
      <c r="A112" s="2"/>
      <c r="E112" s="1"/>
      <c r="F112" s="1"/>
      <c r="G112" s="1"/>
      <c r="H112" s="1"/>
    </row>
    <row r="113" spans="1:8" s="34" customFormat="1">
      <c r="A113" s="2"/>
      <c r="E113" s="1"/>
      <c r="F113" s="1"/>
      <c r="G113" s="1"/>
      <c r="H113" s="1"/>
    </row>
    <row r="114" spans="1:8" s="34" customFormat="1">
      <c r="A114" s="2"/>
      <c r="E114" s="1"/>
      <c r="F114" s="1"/>
      <c r="G114" s="1"/>
      <c r="H114" s="1"/>
    </row>
    <row r="115" spans="1:8" s="34" customFormat="1">
      <c r="A115" s="2"/>
      <c r="E115" s="1"/>
      <c r="F115" s="1"/>
      <c r="G115" s="1"/>
      <c r="H115" s="1"/>
    </row>
    <row r="116" spans="1:8" s="34" customFormat="1">
      <c r="A116" s="2"/>
      <c r="E116" s="1"/>
      <c r="F116" s="1"/>
      <c r="G116" s="1"/>
      <c r="H116" s="1"/>
    </row>
    <row r="117" spans="1:8" s="34" customFormat="1">
      <c r="A117" s="2"/>
      <c r="E117" s="1"/>
      <c r="F117" s="1"/>
      <c r="G117" s="1"/>
      <c r="H117" s="1"/>
    </row>
    <row r="118" spans="1:8" s="34" customFormat="1">
      <c r="A118" s="2"/>
      <c r="E118" s="1"/>
      <c r="F118" s="1"/>
      <c r="G118" s="1"/>
      <c r="H118" s="1"/>
    </row>
    <row r="119" spans="1:8" s="34" customFormat="1">
      <c r="A119" s="2"/>
      <c r="E119" s="1"/>
      <c r="F119" s="1"/>
      <c r="G119" s="1"/>
      <c r="H119" s="1"/>
    </row>
    <row r="120" spans="1:8" s="34" customFormat="1">
      <c r="A120" s="2"/>
      <c r="E120" s="1"/>
      <c r="F120" s="1"/>
      <c r="G120" s="1"/>
      <c r="H120" s="1"/>
    </row>
    <row r="121" spans="1:8" s="34" customFormat="1">
      <c r="A121" s="2"/>
      <c r="E121" s="1"/>
      <c r="F121" s="1"/>
      <c r="G121" s="1"/>
      <c r="H121" s="1"/>
    </row>
    <row r="122" spans="1:8" s="34" customFormat="1">
      <c r="A122" s="2"/>
      <c r="E122" s="1"/>
      <c r="F122" s="1"/>
      <c r="G122" s="1"/>
      <c r="H122" s="1"/>
    </row>
    <row r="123" spans="1:8" s="34" customFormat="1">
      <c r="A123" s="2"/>
      <c r="E123" s="1"/>
      <c r="F123" s="1"/>
      <c r="G123" s="1"/>
      <c r="H123" s="1"/>
    </row>
    <row r="124" spans="1:8" s="34" customFormat="1">
      <c r="A124" s="2"/>
      <c r="E124" s="1"/>
      <c r="F124" s="1"/>
      <c r="G124" s="1"/>
      <c r="H124" s="1"/>
    </row>
    <row r="125" spans="1:8" s="34" customFormat="1">
      <c r="A125" s="2"/>
      <c r="E125" s="1"/>
      <c r="F125" s="1"/>
      <c r="G125" s="1"/>
      <c r="H125" s="1"/>
    </row>
    <row r="126" spans="1:8" s="34" customFormat="1">
      <c r="A126" s="2"/>
      <c r="E126" s="1"/>
      <c r="F126" s="1"/>
      <c r="G126" s="1"/>
      <c r="H126" s="1"/>
    </row>
    <row r="127" spans="1:8" s="34" customFormat="1">
      <c r="A127" s="2"/>
      <c r="E127" s="1"/>
      <c r="F127" s="1"/>
      <c r="G127" s="1"/>
      <c r="H127" s="1"/>
    </row>
    <row r="128" spans="1:8" s="34" customFormat="1">
      <c r="A128" s="2"/>
      <c r="E128" s="1"/>
      <c r="F128" s="1"/>
      <c r="G128" s="1"/>
      <c r="H128" s="1"/>
    </row>
    <row r="129" spans="1:8" s="34" customFormat="1">
      <c r="A129" s="2"/>
      <c r="E129" s="1"/>
      <c r="F129" s="1"/>
      <c r="G129" s="1"/>
      <c r="H129" s="1"/>
    </row>
    <row r="130" spans="1:8" s="34" customFormat="1">
      <c r="A130" s="2"/>
      <c r="E130" s="1"/>
      <c r="F130" s="1"/>
      <c r="G130" s="1"/>
      <c r="H130" s="1"/>
    </row>
    <row r="131" spans="1:8" s="34" customFormat="1">
      <c r="A131" s="2"/>
      <c r="E131" s="1"/>
      <c r="F131" s="1"/>
      <c r="G131" s="1"/>
      <c r="H131" s="1"/>
    </row>
    <row r="132" spans="1:8" s="34" customFormat="1">
      <c r="A132" s="2"/>
      <c r="E132" s="1"/>
      <c r="F132" s="1"/>
      <c r="G132" s="1"/>
      <c r="H132" s="1"/>
    </row>
    <row r="133" spans="1:8" s="34" customFormat="1">
      <c r="A133" s="2"/>
      <c r="E133" s="1"/>
      <c r="F133" s="1"/>
      <c r="G133" s="1"/>
      <c r="H133" s="1"/>
    </row>
    <row r="134" spans="1:8" s="34" customFormat="1">
      <c r="A134" s="2"/>
      <c r="E134" s="1"/>
      <c r="F134" s="1"/>
      <c r="G134" s="1"/>
      <c r="H134" s="1"/>
    </row>
    <row r="135" spans="1:8" s="34" customFormat="1">
      <c r="A135" s="2"/>
      <c r="E135" s="1"/>
      <c r="F135" s="1"/>
      <c r="G135" s="1"/>
      <c r="H135" s="1"/>
    </row>
    <row r="136" spans="1:8" s="34" customFormat="1">
      <c r="A136" s="2"/>
      <c r="E136" s="1"/>
      <c r="F136" s="1"/>
      <c r="G136" s="1"/>
      <c r="H136" s="1"/>
    </row>
    <row r="137" spans="1:8" s="34" customFormat="1">
      <c r="A137" s="2"/>
      <c r="E137" s="1"/>
      <c r="F137" s="1"/>
      <c r="G137" s="1"/>
      <c r="H137" s="1"/>
    </row>
    <row r="138" spans="1:8" s="34" customFormat="1">
      <c r="A138" s="2"/>
      <c r="E138" s="1"/>
      <c r="F138" s="1"/>
      <c r="G138" s="1"/>
      <c r="H138" s="1"/>
    </row>
    <row r="139" spans="1:8" s="34" customFormat="1">
      <c r="A139" s="2"/>
      <c r="E139" s="1"/>
      <c r="F139" s="1"/>
      <c r="G139" s="1"/>
      <c r="H139" s="1"/>
    </row>
    <row r="140" spans="1:8" s="34" customFormat="1">
      <c r="A140" s="2"/>
      <c r="E140" s="1"/>
      <c r="F140" s="1"/>
      <c r="G140" s="1"/>
      <c r="H140" s="1"/>
    </row>
    <row r="141" spans="1:8" s="34" customFormat="1">
      <c r="A141" s="2"/>
      <c r="E141" s="1"/>
      <c r="F141" s="1"/>
      <c r="G141" s="1"/>
      <c r="H141" s="1"/>
    </row>
    <row r="142" spans="1:8" s="34" customFormat="1">
      <c r="A142" s="2"/>
      <c r="E142" s="1"/>
      <c r="F142" s="1"/>
      <c r="G142" s="1"/>
      <c r="H142" s="1"/>
    </row>
    <row r="143" spans="1:8" s="34" customFormat="1">
      <c r="A143" s="2"/>
      <c r="E143" s="1"/>
      <c r="F143" s="1"/>
      <c r="G143" s="1"/>
      <c r="H143" s="1"/>
    </row>
    <row r="144" spans="1:8" s="34" customFormat="1">
      <c r="A144" s="2"/>
      <c r="E144" s="1"/>
      <c r="F144" s="1"/>
      <c r="G144" s="1"/>
      <c r="H144" s="1"/>
    </row>
    <row r="145" spans="1:8" s="34" customFormat="1">
      <c r="A145" s="2"/>
      <c r="E145" s="1"/>
      <c r="F145" s="1"/>
      <c r="G145" s="1"/>
      <c r="H145" s="1"/>
    </row>
    <row r="146" spans="1:8" s="34" customFormat="1">
      <c r="A146" s="2"/>
      <c r="E146" s="1"/>
      <c r="F146" s="1"/>
      <c r="G146" s="1"/>
      <c r="H146" s="1"/>
    </row>
    <row r="147" spans="1:8" s="34" customFormat="1">
      <c r="A147" s="2"/>
      <c r="E147" s="1"/>
      <c r="F147" s="1"/>
      <c r="G147" s="1"/>
      <c r="H147" s="1"/>
    </row>
    <row r="148" spans="1:8" s="34" customFormat="1">
      <c r="A148" s="2"/>
      <c r="E148" s="1"/>
      <c r="F148" s="1"/>
      <c r="G148" s="1"/>
      <c r="H148" s="1"/>
    </row>
    <row r="149" spans="1:8" s="34" customFormat="1">
      <c r="A149" s="2"/>
      <c r="E149" s="1"/>
      <c r="F149" s="1"/>
      <c r="G149" s="1"/>
      <c r="H149" s="1"/>
    </row>
    <row r="150" spans="1:8" s="34" customFormat="1">
      <c r="A150" s="2"/>
      <c r="E150" s="1"/>
      <c r="F150" s="1"/>
      <c r="G150" s="1"/>
      <c r="H150" s="1"/>
    </row>
    <row r="151" spans="1:8" s="34" customFormat="1">
      <c r="A151" s="2"/>
      <c r="E151" s="1"/>
      <c r="F151" s="1"/>
      <c r="G151" s="1"/>
      <c r="H151" s="1"/>
    </row>
    <row r="152" spans="1:8" s="34" customFormat="1">
      <c r="A152" s="2"/>
      <c r="E152" s="1"/>
      <c r="F152" s="1"/>
      <c r="G152" s="1"/>
      <c r="H152" s="1"/>
    </row>
    <row r="153" spans="1:8" s="34" customFormat="1">
      <c r="A153" s="2"/>
      <c r="E153" s="1"/>
      <c r="F153" s="1"/>
      <c r="G153" s="1"/>
      <c r="H153" s="1"/>
    </row>
    <row r="154" spans="1:8" s="34" customFormat="1">
      <c r="A154" s="2"/>
      <c r="E154" s="1"/>
      <c r="F154" s="1"/>
      <c r="G154" s="1"/>
      <c r="H154" s="1"/>
    </row>
    <row r="155" spans="1:8" s="34" customFormat="1">
      <c r="A155" s="2"/>
      <c r="E155" s="1"/>
      <c r="F155" s="1"/>
      <c r="G155" s="1"/>
      <c r="H155" s="1"/>
    </row>
    <row r="156" spans="1:8" s="34" customFormat="1">
      <c r="A156" s="2"/>
      <c r="E156" s="1"/>
      <c r="F156" s="1"/>
      <c r="G156" s="1"/>
      <c r="H156" s="1"/>
    </row>
    <row r="157" spans="1:8" s="34" customFormat="1">
      <c r="A157" s="2"/>
      <c r="E157" s="1"/>
      <c r="F157" s="1"/>
      <c r="G157" s="1"/>
      <c r="H157" s="1"/>
    </row>
    <row r="158" spans="1:8" s="34" customFormat="1">
      <c r="A158" s="2"/>
      <c r="E158" s="1"/>
      <c r="F158" s="1"/>
      <c r="G158" s="1"/>
      <c r="H158" s="1"/>
    </row>
    <row r="159" spans="1:8" s="34" customFormat="1">
      <c r="A159" s="2"/>
      <c r="E159" s="1"/>
      <c r="F159" s="1"/>
      <c r="G159" s="1"/>
      <c r="H159" s="1"/>
    </row>
    <row r="160" spans="1:8" s="34" customFormat="1">
      <c r="A160" s="2"/>
      <c r="E160" s="1"/>
      <c r="F160" s="1"/>
      <c r="G160" s="1"/>
      <c r="H160" s="1"/>
    </row>
    <row r="161" spans="1:8" s="34" customFormat="1">
      <c r="A161" s="2"/>
      <c r="E161" s="1"/>
      <c r="F161" s="1"/>
      <c r="G161" s="1"/>
      <c r="H161" s="1"/>
    </row>
    <row r="162" spans="1:8" s="34" customFormat="1">
      <c r="A162" s="2"/>
      <c r="E162" s="1"/>
      <c r="F162" s="1"/>
      <c r="G162" s="1"/>
      <c r="H162" s="1"/>
    </row>
    <row r="163" spans="1:8" s="34" customFormat="1">
      <c r="A163" s="2"/>
      <c r="E163" s="1"/>
      <c r="F163" s="1"/>
      <c r="G163" s="1"/>
      <c r="H163" s="1"/>
    </row>
    <row r="164" spans="1:8" s="34" customFormat="1">
      <c r="A164" s="2"/>
      <c r="E164" s="1"/>
      <c r="F164" s="1"/>
      <c r="G164" s="1"/>
      <c r="H164" s="1"/>
    </row>
    <row r="165" spans="1:8" s="34" customFormat="1">
      <c r="A165" s="2"/>
      <c r="E165" s="1"/>
      <c r="F165" s="1"/>
      <c r="G165" s="1"/>
      <c r="H165" s="1"/>
    </row>
    <row r="166" spans="1:8" s="34" customFormat="1">
      <c r="A166" s="2"/>
      <c r="E166" s="1"/>
      <c r="F166" s="1"/>
      <c r="G166" s="1"/>
      <c r="H166" s="1"/>
    </row>
    <row r="167" spans="1:8" s="34" customFormat="1">
      <c r="A167" s="2"/>
      <c r="E167" s="1"/>
      <c r="F167" s="1"/>
      <c r="G167" s="1"/>
      <c r="H167" s="1"/>
    </row>
    <row r="168" spans="1:8" s="34" customFormat="1">
      <c r="A168" s="2"/>
      <c r="E168" s="1"/>
      <c r="F168" s="1"/>
      <c r="G168" s="1"/>
      <c r="H168" s="1"/>
    </row>
    <row r="169" spans="1:8" s="34" customFormat="1">
      <c r="A169" s="2"/>
      <c r="E169" s="1"/>
      <c r="F169" s="1"/>
      <c r="G169" s="1"/>
      <c r="H169" s="1"/>
    </row>
    <row r="170" spans="1:8" s="34" customFormat="1">
      <c r="A170" s="2"/>
      <c r="E170" s="1"/>
      <c r="F170" s="1"/>
      <c r="G170" s="1"/>
      <c r="H170" s="1"/>
    </row>
    <row r="171" spans="1:8" s="34" customFormat="1">
      <c r="A171" s="2"/>
      <c r="E171" s="1"/>
      <c r="F171" s="1"/>
      <c r="G171" s="1"/>
      <c r="H171" s="1"/>
    </row>
    <row r="172" spans="1:8" s="34" customFormat="1">
      <c r="A172" s="2"/>
      <c r="E172" s="1"/>
      <c r="F172" s="1"/>
      <c r="G172" s="1"/>
      <c r="H172" s="1"/>
    </row>
    <row r="173" spans="1:8" s="34" customFormat="1">
      <c r="A173" s="2"/>
      <c r="E173" s="1"/>
      <c r="F173" s="1"/>
      <c r="G173" s="1"/>
      <c r="H173" s="1"/>
    </row>
    <row r="174" spans="1:8" s="34" customFormat="1">
      <c r="A174" s="2"/>
      <c r="E174" s="1"/>
      <c r="F174" s="1"/>
      <c r="G174" s="1"/>
      <c r="H174" s="1"/>
    </row>
    <row r="175" spans="1:8" s="34" customFormat="1">
      <c r="A175" s="2"/>
      <c r="E175" s="1"/>
      <c r="F175" s="1"/>
      <c r="G175" s="1"/>
      <c r="H175" s="1"/>
    </row>
    <row r="176" spans="1:8" s="34" customFormat="1">
      <c r="A176" s="2"/>
      <c r="E176" s="1"/>
      <c r="F176" s="1"/>
      <c r="G176" s="1"/>
      <c r="H176" s="1"/>
    </row>
    <row r="177" spans="1:8" s="34" customFormat="1">
      <c r="A177" s="2"/>
      <c r="E177" s="1"/>
      <c r="F177" s="1"/>
      <c r="G177" s="1"/>
      <c r="H177" s="1"/>
    </row>
    <row r="178" spans="1:8" s="34" customFormat="1">
      <c r="A178" s="2"/>
      <c r="E178" s="1"/>
      <c r="F178" s="1"/>
      <c r="G178" s="1"/>
      <c r="H178" s="1"/>
    </row>
    <row r="179" spans="1:8" s="34" customFormat="1">
      <c r="A179" s="2"/>
      <c r="E179" s="1"/>
      <c r="F179" s="1"/>
      <c r="G179" s="1"/>
      <c r="H179" s="1"/>
    </row>
    <row r="180" spans="1:8" s="34" customFormat="1">
      <c r="A180" s="2"/>
      <c r="E180" s="1"/>
      <c r="F180" s="1"/>
      <c r="G180" s="1"/>
      <c r="H180" s="1"/>
    </row>
    <row r="181" spans="1:8" s="34" customFormat="1">
      <c r="A181" s="2"/>
      <c r="E181" s="1"/>
      <c r="F181" s="1"/>
      <c r="G181" s="1"/>
      <c r="H181" s="1"/>
    </row>
    <row r="182" spans="1:8" s="34" customFormat="1">
      <c r="A182" s="2"/>
      <c r="E182" s="1"/>
      <c r="F182" s="1"/>
      <c r="G182" s="1"/>
      <c r="H182" s="1"/>
    </row>
    <row r="183" spans="1:8" s="34" customFormat="1">
      <c r="A183" s="2"/>
      <c r="E183" s="1"/>
      <c r="F183" s="1"/>
      <c r="G183" s="1"/>
      <c r="H183" s="1"/>
    </row>
    <row r="184" spans="1:8" s="34" customFormat="1">
      <c r="A184" s="2"/>
      <c r="E184" s="1"/>
      <c r="F184" s="1"/>
      <c r="G184" s="1"/>
      <c r="H184" s="1"/>
    </row>
    <row r="185" spans="1:8" s="34" customFormat="1">
      <c r="A185" s="2"/>
      <c r="E185" s="1"/>
      <c r="F185" s="1"/>
      <c r="G185" s="1"/>
      <c r="H185" s="1"/>
    </row>
    <row r="186" spans="1:8" s="34" customFormat="1">
      <c r="A186" s="2"/>
      <c r="E186" s="1"/>
      <c r="F186" s="1"/>
      <c r="G186" s="1"/>
      <c r="H186" s="1"/>
    </row>
    <row r="187" spans="1:8" s="34" customFormat="1">
      <c r="A187" s="2"/>
      <c r="E187" s="1"/>
      <c r="F187" s="1"/>
      <c r="G187" s="1"/>
      <c r="H187" s="1"/>
    </row>
    <row r="188" spans="1:8" s="34" customFormat="1">
      <c r="A188" s="2"/>
      <c r="E188" s="1"/>
      <c r="F188" s="1"/>
      <c r="G188" s="1"/>
      <c r="H188" s="1"/>
    </row>
    <row r="189" spans="1:8" s="34" customFormat="1">
      <c r="A189" s="2"/>
      <c r="E189" s="1"/>
      <c r="F189" s="1"/>
      <c r="G189" s="1"/>
      <c r="H189" s="1"/>
    </row>
    <row r="190" spans="1:8" s="34" customFormat="1">
      <c r="A190" s="2"/>
      <c r="E190" s="1"/>
      <c r="F190" s="1"/>
      <c r="G190" s="1"/>
      <c r="H190" s="1"/>
    </row>
    <row r="191" spans="1:8" s="34" customFormat="1">
      <c r="A191" s="2"/>
      <c r="E191" s="1"/>
      <c r="F191" s="1"/>
      <c r="G191" s="1"/>
      <c r="H191" s="1"/>
    </row>
    <row r="192" spans="1:8" s="34" customFormat="1">
      <c r="A192" s="2"/>
      <c r="E192" s="1"/>
      <c r="F192" s="1"/>
      <c r="G192" s="1"/>
      <c r="H192" s="1"/>
    </row>
    <row r="193" spans="1:8" s="34" customFormat="1">
      <c r="A193" s="2"/>
      <c r="E193" s="1"/>
      <c r="F193" s="1"/>
      <c r="G193" s="1"/>
      <c r="H193" s="1"/>
    </row>
    <row r="194" spans="1:8" s="34" customFormat="1">
      <c r="A194" s="2"/>
      <c r="E194" s="1"/>
      <c r="F194" s="1"/>
      <c r="G194" s="1"/>
      <c r="H194" s="1"/>
    </row>
    <row r="195" spans="1:8" s="34" customFormat="1">
      <c r="A195" s="2"/>
      <c r="E195" s="1"/>
      <c r="F195" s="1"/>
      <c r="G195" s="1"/>
      <c r="H195" s="1"/>
    </row>
    <row r="196" spans="1:8" s="34" customFormat="1">
      <c r="A196" s="2"/>
      <c r="E196" s="1"/>
      <c r="F196" s="1"/>
      <c r="G196" s="1"/>
      <c r="H196" s="1"/>
    </row>
    <row r="197" spans="1:8" s="34" customFormat="1">
      <c r="A197" s="2"/>
      <c r="E197" s="1"/>
      <c r="F197" s="1"/>
      <c r="G197" s="1"/>
      <c r="H197" s="1"/>
    </row>
    <row r="198" spans="1:8" s="34" customFormat="1">
      <c r="A198" s="2"/>
      <c r="E198" s="1"/>
      <c r="F198" s="1"/>
      <c r="G198" s="1"/>
      <c r="H198" s="1"/>
    </row>
    <row r="199" spans="1:8" s="34" customFormat="1">
      <c r="A199" s="2"/>
      <c r="E199" s="1"/>
      <c r="F199" s="1"/>
      <c r="G199" s="1"/>
      <c r="H199" s="1"/>
    </row>
    <row r="200" spans="1:8" s="34" customFormat="1">
      <c r="A200" s="2"/>
      <c r="E200" s="1"/>
      <c r="F200" s="1"/>
      <c r="G200" s="1"/>
      <c r="H200" s="1"/>
    </row>
    <row r="201" spans="1:8" s="34" customFormat="1">
      <c r="A201" s="2"/>
      <c r="E201" s="1"/>
      <c r="F201" s="1"/>
      <c r="G201" s="1"/>
      <c r="H201" s="1"/>
    </row>
    <row r="202" spans="1:8" s="34" customFormat="1">
      <c r="A202" s="2"/>
      <c r="E202" s="1"/>
      <c r="F202" s="1"/>
      <c r="G202" s="1"/>
      <c r="H202" s="1"/>
    </row>
    <row r="203" spans="1:8" s="34" customFormat="1">
      <c r="A203" s="2"/>
      <c r="E203" s="1"/>
      <c r="F203" s="1"/>
      <c r="G203" s="1"/>
      <c r="H203" s="1"/>
    </row>
    <row r="204" spans="1:8" s="34" customFormat="1">
      <c r="A204" s="2"/>
      <c r="E204" s="1"/>
      <c r="F204" s="1"/>
      <c r="G204" s="1"/>
      <c r="H204" s="1"/>
    </row>
    <row r="205" spans="1:8" s="34" customFormat="1">
      <c r="A205" s="2"/>
      <c r="E205" s="1"/>
      <c r="F205" s="1"/>
      <c r="G205" s="1"/>
      <c r="H205" s="1"/>
    </row>
    <row r="206" spans="1:8" s="34" customFormat="1">
      <c r="A206" s="2"/>
      <c r="E206" s="1"/>
      <c r="F206" s="1"/>
      <c r="G206" s="1"/>
      <c r="H206" s="1"/>
    </row>
    <row r="207" spans="1:8" s="34" customFormat="1">
      <c r="A207" s="2"/>
      <c r="E207" s="1"/>
      <c r="F207" s="1"/>
      <c r="G207" s="1"/>
      <c r="H207" s="1"/>
    </row>
    <row r="208" spans="1:8" s="34" customFormat="1">
      <c r="A208" s="2"/>
      <c r="E208" s="1"/>
      <c r="F208" s="1"/>
      <c r="G208" s="1"/>
      <c r="H208" s="1"/>
    </row>
    <row r="209" spans="1:8" s="34" customFormat="1">
      <c r="A209" s="2"/>
      <c r="E209" s="1"/>
      <c r="F209" s="1"/>
      <c r="G209" s="1"/>
      <c r="H209" s="1"/>
    </row>
    <row r="210" spans="1:8" s="34" customFormat="1">
      <c r="A210" s="2"/>
      <c r="E210" s="1"/>
      <c r="F210" s="1"/>
      <c r="G210" s="1"/>
      <c r="H210" s="1"/>
    </row>
    <row r="211" spans="1:8" s="34" customFormat="1">
      <c r="A211" s="2"/>
      <c r="E211" s="1"/>
      <c r="F211" s="1"/>
      <c r="G211" s="1"/>
      <c r="H211" s="1"/>
    </row>
    <row r="212" spans="1:8" s="34" customFormat="1">
      <c r="A212" s="2"/>
      <c r="E212" s="1"/>
      <c r="F212" s="1"/>
      <c r="G212" s="1"/>
      <c r="H212" s="1"/>
    </row>
    <row r="213" spans="1:8" s="34" customFormat="1">
      <c r="A213" s="2"/>
      <c r="E213" s="1"/>
      <c r="F213" s="1"/>
      <c r="G213" s="1"/>
      <c r="H213" s="1"/>
    </row>
    <row r="214" spans="1:8" s="34" customFormat="1">
      <c r="A214" s="2"/>
      <c r="E214" s="1"/>
      <c r="F214" s="1"/>
      <c r="G214" s="1"/>
      <c r="H214" s="1"/>
    </row>
    <row r="215" spans="1:8" s="34" customFormat="1">
      <c r="A215" s="2"/>
      <c r="E215" s="1"/>
      <c r="F215" s="1"/>
      <c r="G215" s="1"/>
      <c r="H215" s="1"/>
    </row>
    <row r="216" spans="1:8" s="34" customFormat="1">
      <c r="A216" s="2"/>
      <c r="E216" s="1"/>
      <c r="F216" s="1"/>
      <c r="G216" s="1"/>
      <c r="H216" s="1"/>
    </row>
    <row r="217" spans="1:8" s="34" customFormat="1">
      <c r="A217" s="2"/>
      <c r="E217" s="1"/>
      <c r="F217" s="1"/>
      <c r="G217" s="1"/>
      <c r="H217" s="1"/>
    </row>
    <row r="218" spans="1:8" s="34" customFormat="1">
      <c r="A218" s="2"/>
      <c r="E218" s="1"/>
      <c r="F218" s="1"/>
      <c r="G218" s="1"/>
      <c r="H218" s="1"/>
    </row>
    <row r="219" spans="1:8" s="34" customFormat="1">
      <c r="A219" s="2"/>
      <c r="E219" s="1"/>
      <c r="F219" s="1"/>
      <c r="G219" s="1"/>
      <c r="H219" s="1"/>
    </row>
    <row r="220" spans="1:8" s="34" customFormat="1">
      <c r="A220" s="2"/>
      <c r="E220" s="1"/>
      <c r="F220" s="1"/>
      <c r="G220" s="1"/>
      <c r="H220" s="1"/>
    </row>
    <row r="221" spans="1:8" s="34" customFormat="1">
      <c r="A221" s="2"/>
      <c r="E221" s="1"/>
      <c r="F221" s="1"/>
      <c r="G221" s="1"/>
      <c r="H221" s="1"/>
    </row>
    <row r="222" spans="1:8" s="34" customFormat="1">
      <c r="A222" s="2"/>
      <c r="E222" s="1"/>
      <c r="F222" s="1"/>
      <c r="G222" s="1"/>
      <c r="H222" s="1"/>
    </row>
    <row r="223" spans="1:8" s="34" customFormat="1">
      <c r="A223" s="2"/>
      <c r="E223" s="1"/>
      <c r="F223" s="1"/>
      <c r="G223" s="1"/>
      <c r="H223" s="1"/>
    </row>
    <row r="224" spans="1:8" s="34" customFormat="1">
      <c r="A224" s="2"/>
      <c r="E224" s="1"/>
      <c r="F224" s="1"/>
      <c r="G224" s="1"/>
      <c r="H224" s="1"/>
    </row>
    <row r="225" spans="1:8" s="34" customFormat="1">
      <c r="A225" s="2"/>
      <c r="E225" s="1"/>
      <c r="F225" s="1"/>
      <c r="G225" s="1"/>
      <c r="H225" s="1"/>
    </row>
    <row r="226" spans="1:8" s="34" customFormat="1">
      <c r="A226" s="2"/>
      <c r="E226" s="1"/>
      <c r="F226" s="1"/>
      <c r="G226" s="1"/>
      <c r="H226" s="1"/>
    </row>
    <row r="227" spans="1:8" s="34" customFormat="1">
      <c r="A227" s="2"/>
      <c r="E227" s="1"/>
      <c r="F227" s="1"/>
      <c r="G227" s="1"/>
      <c r="H227" s="1"/>
    </row>
    <row r="228" spans="1:8" s="34" customFormat="1">
      <c r="A228" s="2"/>
      <c r="E228" s="1"/>
      <c r="F228" s="1"/>
      <c r="G228" s="1"/>
      <c r="H228" s="1"/>
    </row>
    <row r="229" spans="1:8" s="34" customFormat="1">
      <c r="A229" s="2"/>
      <c r="E229" s="1"/>
      <c r="F229" s="1"/>
      <c r="G229" s="1"/>
      <c r="H229" s="1"/>
    </row>
    <row r="230" spans="1:8" s="34" customFormat="1">
      <c r="A230" s="2"/>
      <c r="E230" s="1"/>
      <c r="F230" s="1"/>
      <c r="G230" s="1"/>
      <c r="H230" s="1"/>
    </row>
    <row r="231" spans="1:8" s="34" customFormat="1">
      <c r="A231" s="2"/>
      <c r="E231" s="1"/>
      <c r="F231" s="1"/>
      <c r="G231" s="1"/>
      <c r="H231" s="1"/>
    </row>
    <row r="232" spans="1:8" s="34" customFormat="1">
      <c r="A232" s="2"/>
      <c r="E232" s="1"/>
      <c r="F232" s="1"/>
      <c r="G232" s="1"/>
      <c r="H232" s="1"/>
    </row>
    <row r="233" spans="1:8" s="34" customFormat="1">
      <c r="A233" s="2"/>
      <c r="E233" s="1"/>
      <c r="F233" s="1"/>
      <c r="G233" s="1"/>
      <c r="H233" s="1"/>
    </row>
    <row r="234" spans="1:8" s="34" customFormat="1">
      <c r="A234" s="2"/>
      <c r="E234" s="1"/>
      <c r="F234" s="1"/>
      <c r="G234" s="1"/>
      <c r="H234" s="1"/>
    </row>
    <row r="235" spans="1:8" s="34" customFormat="1">
      <c r="A235" s="2"/>
      <c r="E235" s="1"/>
      <c r="F235" s="1"/>
      <c r="G235" s="1"/>
      <c r="H235" s="1"/>
    </row>
    <row r="236" spans="1:8" s="34" customFormat="1">
      <c r="A236" s="2"/>
      <c r="E236" s="1"/>
      <c r="F236" s="1"/>
      <c r="G236" s="1"/>
      <c r="H236" s="1"/>
    </row>
    <row r="237" spans="1:8" s="34" customFormat="1">
      <c r="A237" s="2"/>
      <c r="E237" s="1"/>
      <c r="F237" s="1"/>
      <c r="G237" s="1"/>
      <c r="H237" s="1"/>
    </row>
    <row r="238" spans="1:8" s="34" customFormat="1">
      <c r="A238" s="2"/>
      <c r="E238" s="1"/>
      <c r="F238" s="1"/>
      <c r="G238" s="1"/>
      <c r="H238" s="1"/>
    </row>
    <row r="239" spans="1:8" s="34" customFormat="1">
      <c r="A239" s="2"/>
      <c r="E239" s="1"/>
      <c r="F239" s="1"/>
      <c r="G239" s="1"/>
      <c r="H239" s="1"/>
    </row>
    <row r="240" spans="1:8" s="34" customFormat="1">
      <c r="A240" s="2"/>
      <c r="E240" s="1"/>
      <c r="F240" s="1"/>
      <c r="G240" s="1"/>
      <c r="H240" s="1"/>
    </row>
    <row r="241" spans="1:8" s="34" customFormat="1">
      <c r="A241" s="2"/>
      <c r="E241" s="1"/>
      <c r="F241" s="1"/>
      <c r="G241" s="1"/>
      <c r="H241" s="1"/>
    </row>
    <row r="242" spans="1:8" s="34" customFormat="1">
      <c r="A242" s="2"/>
      <c r="E242" s="1"/>
      <c r="F242" s="1"/>
      <c r="G242" s="1"/>
      <c r="H242" s="1"/>
    </row>
    <row r="243" spans="1:8" s="34" customFormat="1">
      <c r="A243" s="2"/>
      <c r="E243" s="1"/>
      <c r="F243" s="1"/>
      <c r="G243" s="1"/>
      <c r="H243" s="1"/>
    </row>
    <row r="244" spans="1:8" s="34" customFormat="1">
      <c r="A244" s="2"/>
      <c r="E244" s="1"/>
      <c r="F244" s="1"/>
      <c r="G244" s="1"/>
      <c r="H244" s="1"/>
    </row>
    <row r="245" spans="1:8" s="34" customFormat="1">
      <c r="A245" s="2"/>
      <c r="E245" s="1"/>
      <c r="F245" s="1"/>
      <c r="G245" s="1"/>
      <c r="H245" s="1"/>
    </row>
    <row r="246" spans="1:8" s="34" customFormat="1">
      <c r="A246" s="2"/>
      <c r="E246" s="1"/>
      <c r="F246" s="1"/>
      <c r="G246" s="1"/>
      <c r="H246" s="1"/>
    </row>
    <row r="247" spans="1:8" s="34" customFormat="1">
      <c r="A247" s="2"/>
      <c r="E247" s="1"/>
      <c r="F247" s="1"/>
      <c r="G247" s="1"/>
      <c r="H247" s="1"/>
    </row>
    <row r="248" spans="1:8" s="34" customFormat="1">
      <c r="A248" s="2"/>
      <c r="E248" s="1"/>
      <c r="F248" s="1"/>
      <c r="G248" s="1"/>
      <c r="H248" s="1"/>
    </row>
    <row r="249" spans="1:8" s="34" customFormat="1">
      <c r="A249" s="2"/>
      <c r="E249" s="1"/>
      <c r="F249" s="1"/>
      <c r="G249" s="1"/>
      <c r="H249" s="1"/>
    </row>
  </sheetData>
  <mergeCells count="22">
    <mergeCell ref="G98:H98"/>
    <mergeCell ref="G97:H97"/>
    <mergeCell ref="A78:H78"/>
    <mergeCell ref="C79:D79"/>
    <mergeCell ref="E79:E80"/>
    <mergeCell ref="F79:F80"/>
    <mergeCell ref="G79:G80"/>
    <mergeCell ref="H79:H80"/>
    <mergeCell ref="A79:A80"/>
    <mergeCell ref="B79:B80"/>
    <mergeCell ref="D97:E97"/>
    <mergeCell ref="D98:E98"/>
    <mergeCell ref="A2:H2"/>
    <mergeCell ref="A1:H1"/>
    <mergeCell ref="A51:H51"/>
    <mergeCell ref="A69:H69"/>
    <mergeCell ref="A4:A5"/>
    <mergeCell ref="B4:B5"/>
    <mergeCell ref="A7:H7"/>
    <mergeCell ref="E4:H4"/>
    <mergeCell ref="C4:D4"/>
    <mergeCell ref="A44:H44"/>
  </mergeCells>
  <phoneticPr fontId="3" type="noConversion"/>
  <printOptions horizontalCentered="1"/>
  <pageMargins left="0.39370078740157483" right="0.39370078740157483" top="0.78740157480314965" bottom="0.39370078740157483" header="0.39370078740157483" footer="0.19685039370078741"/>
  <pageSetup paperSize="9" scale="78" fitToHeight="6" orientation="landscape" verticalDpi="300" r:id="rId1"/>
  <headerFooter alignWithMargins="0"/>
  <ignoredErrors>
    <ignoredError sqref="B81:B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J213"/>
  <sheetViews>
    <sheetView view="pageBreakPreview" topLeftCell="A46" zoomScale="80" zoomScaleSheetLayoutView="80" workbookViewId="0">
      <selection activeCell="B40" sqref="B40"/>
    </sheetView>
  </sheetViews>
  <sheetFormatPr defaultRowHeight="18.75"/>
  <cols>
    <col min="1" max="1" width="4.28515625" style="202" customWidth="1"/>
    <col min="2" max="2" width="58.5703125" style="202" customWidth="1"/>
    <col min="3" max="3" width="8.7109375" style="199" customWidth="1"/>
    <col min="4" max="4" width="16.5703125" style="199" customWidth="1"/>
    <col min="5" max="5" width="17.5703125" style="199" customWidth="1"/>
    <col min="6" max="6" width="16.42578125" style="199" customWidth="1"/>
    <col min="7" max="7" width="14.5703125" style="213" customWidth="1"/>
    <col min="8" max="8" width="15.28515625" style="213" customWidth="1"/>
    <col min="9" max="9" width="16.85546875" style="202" customWidth="1"/>
    <col min="10" max="10" width="13" style="202" customWidth="1"/>
    <col min="11" max="11" width="11.85546875" style="202" customWidth="1"/>
    <col min="12" max="16384" width="9.140625" style="202"/>
  </cols>
  <sheetData>
    <row r="1" spans="1:10" ht="29.25" customHeight="1">
      <c r="A1" s="308" t="s">
        <v>83</v>
      </c>
      <c r="B1" s="308"/>
      <c r="C1" s="308"/>
      <c r="D1" s="308"/>
      <c r="E1" s="308"/>
      <c r="F1" s="308"/>
      <c r="G1" s="308"/>
      <c r="H1" s="308"/>
    </row>
    <row r="2" spans="1:10">
      <c r="B2" s="212"/>
      <c r="C2" s="62"/>
      <c r="D2" s="198"/>
      <c r="E2" s="198"/>
      <c r="F2" s="198"/>
      <c r="H2" s="213" t="s">
        <v>58</v>
      </c>
    </row>
    <row r="3" spans="1:10" s="213" customFormat="1" ht="60.75" customHeight="1">
      <c r="A3" s="17" t="s">
        <v>6</v>
      </c>
      <c r="B3" s="4" t="s">
        <v>20</v>
      </c>
      <c r="C3" s="17" t="s">
        <v>4</v>
      </c>
      <c r="D3" s="5" t="s">
        <v>335</v>
      </c>
      <c r="E3" s="200" t="s">
        <v>337</v>
      </c>
      <c r="F3" s="5" t="s">
        <v>338</v>
      </c>
      <c r="G3" s="5" t="s">
        <v>178</v>
      </c>
      <c r="H3" s="5" t="s">
        <v>179</v>
      </c>
    </row>
    <row r="4" spans="1:10" ht="19.5" customHeight="1">
      <c r="A4" s="187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116">
        <v>7</v>
      </c>
      <c r="H4" s="5">
        <v>8</v>
      </c>
    </row>
    <row r="5" spans="1:10" ht="27.75" customHeight="1">
      <c r="A5" s="312" t="s">
        <v>67</v>
      </c>
      <c r="B5" s="313"/>
      <c r="C5" s="4"/>
      <c r="D5" s="214">
        <f>D6+D11+D20+D22</f>
        <v>213277.9</v>
      </c>
      <c r="E5" s="214">
        <f>E6+E11+E20+E22</f>
        <v>209585.50000000003</v>
      </c>
      <c r="F5" s="214">
        <f>F6+F11+F20+F22</f>
        <v>270360.60000000003</v>
      </c>
      <c r="G5" s="215">
        <f t="shared" ref="G5:G11" si="0">F5-E5</f>
        <v>60775.100000000006</v>
      </c>
      <c r="H5" s="215">
        <f t="shared" ref="H5:H11" si="1">(F5/E5)*100</f>
        <v>128.99775986411274</v>
      </c>
      <c r="I5" s="216"/>
      <c r="J5" s="216"/>
    </row>
    <row r="6" spans="1:10" ht="42" customHeight="1">
      <c r="A6" s="303" t="s">
        <v>66</v>
      </c>
      <c r="B6" s="304"/>
      <c r="C6" s="7">
        <v>1000</v>
      </c>
      <c r="D6" s="141">
        <f>D7+D8+D9</f>
        <v>172720.40000000002</v>
      </c>
      <c r="E6" s="141">
        <f>E7+E8</f>
        <v>176694.90000000002</v>
      </c>
      <c r="F6" s="141">
        <f>F7+F8+F9+F10</f>
        <v>216900</v>
      </c>
      <c r="G6" s="215">
        <f t="shared" si="0"/>
        <v>40205.099999999977</v>
      </c>
      <c r="H6" s="215">
        <f t="shared" si="1"/>
        <v>122.75396743199718</v>
      </c>
    </row>
    <row r="7" spans="1:10" ht="39" customHeight="1">
      <c r="A7" s="187">
        <v>1</v>
      </c>
      <c r="B7" s="8" t="s">
        <v>105</v>
      </c>
      <c r="C7" s="4"/>
      <c r="D7" s="134">
        <v>172481.5</v>
      </c>
      <c r="E7" s="217">
        <v>176425.7</v>
      </c>
      <c r="F7" s="134">
        <v>215885.1</v>
      </c>
      <c r="G7" s="21">
        <f t="shared" si="0"/>
        <v>39459.399999999994</v>
      </c>
      <c r="H7" s="21">
        <f t="shared" si="1"/>
        <v>122.36601583556137</v>
      </c>
    </row>
    <row r="8" spans="1:10" ht="57.75" customHeight="1">
      <c r="A8" s="187">
        <v>2</v>
      </c>
      <c r="B8" s="8" t="s">
        <v>192</v>
      </c>
      <c r="C8" s="7"/>
      <c r="D8" s="134">
        <v>204.2</v>
      </c>
      <c r="E8" s="217">
        <v>269.2</v>
      </c>
      <c r="F8" s="134">
        <v>123.4</v>
      </c>
      <c r="G8" s="21">
        <f t="shared" ref="G8:G10" si="2">F8-E8</f>
        <v>-145.79999999999998</v>
      </c>
      <c r="H8" s="215">
        <f t="shared" ref="H8:H10" si="3">(F8/E8)*100</f>
        <v>45.839524517087668</v>
      </c>
      <c r="I8" s="218"/>
    </row>
    <row r="9" spans="1:10" ht="35.25" customHeight="1">
      <c r="A9" s="219">
        <v>3</v>
      </c>
      <c r="B9" s="8" t="s">
        <v>269</v>
      </c>
      <c r="C9" s="7"/>
      <c r="D9" s="134">
        <v>34.700000000000003</v>
      </c>
      <c r="E9" s="134"/>
      <c r="F9" s="134">
        <v>115</v>
      </c>
      <c r="G9" s="21">
        <f t="shared" si="2"/>
        <v>115</v>
      </c>
      <c r="H9" s="220" t="e">
        <f t="shared" si="3"/>
        <v>#DIV/0!</v>
      </c>
    </row>
    <row r="10" spans="1:10" ht="98.25" customHeight="1">
      <c r="A10" s="219">
        <v>4</v>
      </c>
      <c r="B10" s="16" t="s">
        <v>268</v>
      </c>
      <c r="C10" s="7"/>
      <c r="D10" s="134"/>
      <c r="E10" s="221">
        <v>882.7</v>
      </c>
      <c r="F10" s="134">
        <v>776.5</v>
      </c>
      <c r="G10" s="21">
        <f t="shared" si="2"/>
        <v>-106.20000000000005</v>
      </c>
      <c r="H10" s="21">
        <f t="shared" si="3"/>
        <v>87.968732298629206</v>
      </c>
    </row>
    <row r="11" spans="1:10" ht="30.75" customHeight="1">
      <c r="A11" s="303" t="s">
        <v>31</v>
      </c>
      <c r="B11" s="304"/>
      <c r="C11" s="7">
        <v>1040</v>
      </c>
      <c r="D11" s="141">
        <f>SUM(D12:D19)</f>
        <v>22788.9</v>
      </c>
      <c r="E11" s="141">
        <f>SUM(E12:E19)</f>
        <v>12579.099999999999</v>
      </c>
      <c r="F11" s="141">
        <f>SUM(F12:F18)</f>
        <v>28366.2</v>
      </c>
      <c r="G11" s="215">
        <f t="shared" si="0"/>
        <v>15787.100000000002</v>
      </c>
      <c r="H11" s="215">
        <f t="shared" si="1"/>
        <v>225.50261942428315</v>
      </c>
    </row>
    <row r="12" spans="1:10" ht="75.75" customHeight="1">
      <c r="A12" s="4">
        <v>1</v>
      </c>
      <c r="B12" s="222" t="s">
        <v>366</v>
      </c>
      <c r="C12" s="7"/>
      <c r="D12" s="134" t="s">
        <v>235</v>
      </c>
      <c r="E12" s="221"/>
      <c r="F12" s="134">
        <v>5639</v>
      </c>
      <c r="G12" s="21">
        <f t="shared" ref="G12" si="4">F12-E12</f>
        <v>5639</v>
      </c>
      <c r="H12" s="65" t="e">
        <f t="shared" ref="H12" si="5">(F12/E12)*100</f>
        <v>#DIV/0!</v>
      </c>
    </row>
    <row r="13" spans="1:10" ht="54.75" customHeight="1">
      <c r="A13" s="4">
        <v>2</v>
      </c>
      <c r="B13" s="8" t="s">
        <v>365</v>
      </c>
      <c r="C13" s="7"/>
      <c r="D13" s="134">
        <v>15393.6</v>
      </c>
      <c r="E13" s="221">
        <v>12420.8</v>
      </c>
      <c r="F13" s="134">
        <v>11500.2</v>
      </c>
      <c r="G13" s="21">
        <f t="shared" ref="G13:G62" si="6">F13-E13</f>
        <v>-920.59999999999854</v>
      </c>
      <c r="H13" s="21">
        <f t="shared" ref="H13:H62" si="7">(F13/E13)*100</f>
        <v>92.588239082828821</v>
      </c>
    </row>
    <row r="14" spans="1:10" ht="24.75" customHeight="1">
      <c r="A14" s="4">
        <v>3</v>
      </c>
      <c r="B14" s="8" t="s">
        <v>193</v>
      </c>
      <c r="C14" s="7"/>
      <c r="D14" s="134">
        <v>166.2</v>
      </c>
      <c r="E14" s="223">
        <v>153.30000000000001</v>
      </c>
      <c r="F14" s="134">
        <v>170.4</v>
      </c>
      <c r="G14" s="21">
        <f t="shared" si="6"/>
        <v>17.099999999999994</v>
      </c>
      <c r="H14" s="21">
        <f t="shared" si="7"/>
        <v>111.1545988258317</v>
      </c>
    </row>
    <row r="15" spans="1:10" ht="24.75" customHeight="1">
      <c r="A15" s="4">
        <v>4</v>
      </c>
      <c r="B15" s="8" t="s">
        <v>150</v>
      </c>
      <c r="C15" s="7"/>
      <c r="D15" s="134">
        <v>0.7</v>
      </c>
      <c r="E15" s="221">
        <v>5</v>
      </c>
      <c r="F15" s="134">
        <v>0.3</v>
      </c>
      <c r="G15" s="21">
        <f t="shared" si="6"/>
        <v>-4.7</v>
      </c>
      <c r="H15" s="21">
        <f t="shared" si="7"/>
        <v>6</v>
      </c>
    </row>
    <row r="16" spans="1:10" ht="24.75" customHeight="1">
      <c r="A16" s="4">
        <v>5</v>
      </c>
      <c r="B16" s="8" t="s">
        <v>266</v>
      </c>
      <c r="C16" s="7"/>
      <c r="D16" s="134"/>
      <c r="E16" s="221"/>
      <c r="F16" s="134">
        <v>20</v>
      </c>
      <c r="G16" s="21">
        <f t="shared" si="6"/>
        <v>20</v>
      </c>
      <c r="H16" s="65" t="e">
        <f t="shared" si="7"/>
        <v>#DIV/0!</v>
      </c>
    </row>
    <row r="17" spans="1:10" ht="24.75" customHeight="1">
      <c r="A17" s="4">
        <v>6</v>
      </c>
      <c r="B17" s="8" t="s">
        <v>267</v>
      </c>
      <c r="C17" s="7"/>
      <c r="D17" s="134"/>
      <c r="E17" s="221"/>
      <c r="F17" s="134">
        <v>910.3</v>
      </c>
      <c r="G17" s="21">
        <f t="shared" si="6"/>
        <v>910.3</v>
      </c>
      <c r="H17" s="65" t="e">
        <f t="shared" si="7"/>
        <v>#DIV/0!</v>
      </c>
    </row>
    <row r="18" spans="1:10" ht="27.75" customHeight="1">
      <c r="A18" s="4">
        <v>7</v>
      </c>
      <c r="B18" s="8" t="s">
        <v>339</v>
      </c>
      <c r="C18" s="7"/>
      <c r="D18" s="134">
        <v>7199.8</v>
      </c>
      <c r="E18" s="134"/>
      <c r="F18" s="134">
        <v>10126</v>
      </c>
      <c r="G18" s="21">
        <f t="shared" si="6"/>
        <v>10126</v>
      </c>
      <c r="H18" s="65" t="e">
        <f t="shared" si="7"/>
        <v>#DIV/0!</v>
      </c>
      <c r="J18" s="224"/>
    </row>
    <row r="19" spans="1:10" ht="27.75" customHeight="1">
      <c r="A19" s="4">
        <v>8</v>
      </c>
      <c r="B19" s="8" t="s">
        <v>340</v>
      </c>
      <c r="C19" s="7"/>
      <c r="D19" s="134">
        <v>28.6</v>
      </c>
      <c r="E19" s="134"/>
      <c r="F19" s="134"/>
      <c r="G19" s="21"/>
      <c r="H19" s="65"/>
      <c r="J19" s="224"/>
    </row>
    <row r="20" spans="1:10" ht="26.25" customHeight="1">
      <c r="A20" s="314" t="s">
        <v>151</v>
      </c>
      <c r="B20" s="315"/>
      <c r="C20" s="7">
        <v>1130</v>
      </c>
      <c r="D20" s="141">
        <f>D21</f>
        <v>560.29999999999995</v>
      </c>
      <c r="E20" s="141">
        <f>E21</f>
        <v>391.5</v>
      </c>
      <c r="F20" s="141">
        <f>F21</f>
        <v>2936.6</v>
      </c>
      <c r="G20" s="215">
        <f t="shared" si="6"/>
        <v>2545.1</v>
      </c>
      <c r="H20" s="215">
        <f t="shared" si="7"/>
        <v>750.08939974457212</v>
      </c>
    </row>
    <row r="21" spans="1:10" ht="39.75" customHeight="1">
      <c r="A21" s="187">
        <v>1</v>
      </c>
      <c r="B21" s="8" t="s">
        <v>152</v>
      </c>
      <c r="C21" s="4"/>
      <c r="D21" s="134">
        <v>560.29999999999995</v>
      </c>
      <c r="E21" s="221">
        <v>391.5</v>
      </c>
      <c r="F21" s="134">
        <v>2936.6</v>
      </c>
      <c r="G21" s="21">
        <f t="shared" si="6"/>
        <v>2545.1</v>
      </c>
      <c r="H21" s="21">
        <f t="shared" si="7"/>
        <v>750.08939974457212</v>
      </c>
      <c r="J21" s="224"/>
    </row>
    <row r="22" spans="1:10" ht="24.75" customHeight="1">
      <c r="A22" s="306" t="s">
        <v>23</v>
      </c>
      <c r="B22" s="307"/>
      <c r="C22" s="7">
        <v>1150</v>
      </c>
      <c r="D22" s="141">
        <f>D23+D24</f>
        <v>17208.3</v>
      </c>
      <c r="E22" s="141">
        <f>E23+E24</f>
        <v>19920</v>
      </c>
      <c r="F22" s="141">
        <f>F23+F24</f>
        <v>22157.8</v>
      </c>
      <c r="G22" s="215">
        <f t="shared" si="6"/>
        <v>2237.7999999999993</v>
      </c>
      <c r="H22" s="215">
        <f t="shared" si="7"/>
        <v>111.23393574297189</v>
      </c>
    </row>
    <row r="23" spans="1:10" ht="37.5" customHeight="1">
      <c r="A23" s="4">
        <v>1</v>
      </c>
      <c r="B23" s="10" t="s">
        <v>108</v>
      </c>
      <c r="C23" s="7"/>
      <c r="D23" s="134">
        <v>17102</v>
      </c>
      <c r="E23" s="141">
        <v>19920</v>
      </c>
      <c r="F23" s="134">
        <v>22156.799999999999</v>
      </c>
      <c r="G23" s="21">
        <f t="shared" ref="G23" si="8">F23-E23</f>
        <v>2236.7999999999993</v>
      </c>
      <c r="H23" s="65">
        <f t="shared" ref="H23" si="9">(F23/E23)*100</f>
        <v>111.22891566265061</v>
      </c>
    </row>
    <row r="24" spans="1:10" ht="24.75" customHeight="1">
      <c r="A24" s="4">
        <v>2</v>
      </c>
      <c r="B24" s="10" t="s">
        <v>270</v>
      </c>
      <c r="C24" s="7"/>
      <c r="D24" s="134">
        <v>106.3</v>
      </c>
      <c r="E24" s="221"/>
      <c r="F24" s="134">
        <v>1</v>
      </c>
      <c r="G24" s="21">
        <f t="shared" si="6"/>
        <v>1</v>
      </c>
      <c r="H24" s="21" t="e">
        <f t="shared" si="7"/>
        <v>#DIV/0!</v>
      </c>
      <c r="J24" s="224"/>
    </row>
    <row r="25" spans="1:10" ht="26.25" customHeight="1">
      <c r="A25" s="312" t="s">
        <v>68</v>
      </c>
      <c r="B25" s="313"/>
      <c r="C25" s="7"/>
      <c r="D25" s="141"/>
      <c r="E25" s="141"/>
      <c r="F25" s="141"/>
      <c r="G25" s="215"/>
      <c r="H25" s="215"/>
    </row>
    <row r="26" spans="1:10" ht="41.25" customHeight="1">
      <c r="A26" s="303" t="s">
        <v>75</v>
      </c>
      <c r="B26" s="304"/>
      <c r="C26" s="7"/>
      <c r="D26" s="129"/>
      <c r="E26" s="129"/>
      <c r="F26" s="129"/>
      <c r="G26" s="215"/>
      <c r="H26" s="215"/>
    </row>
    <row r="27" spans="1:10" ht="27" customHeight="1">
      <c r="A27" s="306" t="s">
        <v>88</v>
      </c>
      <c r="B27" s="307"/>
      <c r="C27" s="169">
        <v>1011</v>
      </c>
      <c r="D27" s="141">
        <f>SUM(D28:D43)</f>
        <v>46566.19999999999</v>
      </c>
      <c r="E27" s="141">
        <f>SUM(E28:E45)</f>
        <v>47797.599999999999</v>
      </c>
      <c r="F27" s="141">
        <f>SUM(F28:F45)</f>
        <v>81801.399999999994</v>
      </c>
      <c r="G27" s="215">
        <f t="shared" si="6"/>
        <v>34003.799999999996</v>
      </c>
      <c r="H27" s="215">
        <f t="shared" si="7"/>
        <v>171.14122884831039</v>
      </c>
      <c r="I27" s="280">
        <f>F27-F39-F40-F41-F42-F43-F44-F45</f>
        <v>3518.5999999999949</v>
      </c>
    </row>
    <row r="28" spans="1:10" ht="36.75" customHeight="1">
      <c r="A28" s="225"/>
      <c r="B28" s="16" t="s">
        <v>181</v>
      </c>
      <c r="C28" s="226"/>
      <c r="D28" s="221">
        <v>231.1</v>
      </c>
      <c r="E28" s="227">
        <f>230</f>
        <v>230</v>
      </c>
      <c r="F28" s="221">
        <f>9.4+0.6</f>
        <v>10</v>
      </c>
      <c r="G28" s="21">
        <f>F28-E28</f>
        <v>-220</v>
      </c>
      <c r="H28" s="21">
        <f>(F28/E28)*100</f>
        <v>4.3478260869565215</v>
      </c>
    </row>
    <row r="29" spans="1:10" ht="57" customHeight="1">
      <c r="A29" s="225"/>
      <c r="B29" s="8" t="s">
        <v>233</v>
      </c>
      <c r="C29" s="226"/>
      <c r="D29" s="221">
        <v>634.9</v>
      </c>
      <c r="E29" s="221">
        <f>650+60</f>
        <v>710</v>
      </c>
      <c r="F29" s="221">
        <v>603.4</v>
      </c>
      <c r="G29" s="21">
        <f>F29-E29</f>
        <v>-106.60000000000002</v>
      </c>
      <c r="H29" s="21">
        <f>(F29/E29)*100</f>
        <v>84.985915492957744</v>
      </c>
    </row>
    <row r="30" spans="1:10" ht="24" customHeight="1">
      <c r="A30" s="225"/>
      <c r="B30" s="8" t="s">
        <v>110</v>
      </c>
      <c r="C30" s="226"/>
      <c r="D30" s="221">
        <v>293.89999999999998</v>
      </c>
      <c r="E30" s="221"/>
      <c r="F30" s="221">
        <f>248.3</f>
        <v>248.3</v>
      </c>
      <c r="G30" s="21">
        <f t="shared" si="6"/>
        <v>248.3</v>
      </c>
      <c r="H30" s="65" t="e">
        <f t="shared" si="7"/>
        <v>#DIV/0!</v>
      </c>
    </row>
    <row r="31" spans="1:10" ht="21" customHeight="1">
      <c r="A31" s="225"/>
      <c r="B31" s="8" t="s">
        <v>219</v>
      </c>
      <c r="C31" s="226"/>
      <c r="D31" s="221"/>
      <c r="E31" s="221"/>
      <c r="F31" s="221">
        <f>279.4</f>
        <v>279.39999999999998</v>
      </c>
      <c r="G31" s="21">
        <f t="shared" si="6"/>
        <v>279.39999999999998</v>
      </c>
      <c r="H31" s="65" t="e">
        <f t="shared" si="7"/>
        <v>#DIV/0!</v>
      </c>
    </row>
    <row r="32" spans="1:10" ht="20.25" customHeight="1">
      <c r="A32" s="225"/>
      <c r="B32" s="8" t="s">
        <v>135</v>
      </c>
      <c r="C32" s="226"/>
      <c r="D32" s="221">
        <v>94.3</v>
      </c>
      <c r="E32" s="130">
        <f>200</f>
        <v>200</v>
      </c>
      <c r="F32" s="221">
        <f>148+100.9</f>
        <v>248.9</v>
      </c>
      <c r="G32" s="21">
        <f t="shared" si="6"/>
        <v>48.900000000000006</v>
      </c>
      <c r="H32" s="21">
        <f t="shared" si="7"/>
        <v>124.44999999999999</v>
      </c>
    </row>
    <row r="33" spans="1:10" ht="20.25" customHeight="1">
      <c r="A33" s="225"/>
      <c r="B33" s="8" t="s">
        <v>111</v>
      </c>
      <c r="C33" s="226"/>
      <c r="D33" s="221">
        <v>8.1999999999999993</v>
      </c>
      <c r="E33" s="221">
        <f>7</f>
        <v>7</v>
      </c>
      <c r="F33" s="221">
        <f>16</f>
        <v>16</v>
      </c>
      <c r="G33" s="21">
        <f t="shared" si="6"/>
        <v>9</v>
      </c>
      <c r="H33" s="21">
        <f t="shared" si="7"/>
        <v>228.57142857142856</v>
      </c>
    </row>
    <row r="34" spans="1:10" ht="21" customHeight="1">
      <c r="A34" s="225"/>
      <c r="B34" s="8" t="s">
        <v>136</v>
      </c>
      <c r="C34" s="226"/>
      <c r="D34" s="221">
        <v>98.3</v>
      </c>
      <c r="E34" s="221"/>
      <c r="F34" s="221">
        <f>78.5</f>
        <v>78.5</v>
      </c>
      <c r="G34" s="21">
        <f t="shared" si="6"/>
        <v>78.5</v>
      </c>
      <c r="H34" s="65" t="e">
        <f t="shared" si="7"/>
        <v>#DIV/0!</v>
      </c>
    </row>
    <row r="35" spans="1:10" ht="20.25" customHeight="1">
      <c r="A35" s="225"/>
      <c r="B35" s="8" t="s">
        <v>137</v>
      </c>
      <c r="C35" s="226"/>
      <c r="D35" s="221">
        <v>47.5</v>
      </c>
      <c r="E35" s="221">
        <f>50</f>
        <v>50</v>
      </c>
      <c r="F35" s="221">
        <f>2.2+197.4+39.2+100</f>
        <v>338.8</v>
      </c>
      <c r="G35" s="21">
        <f t="shared" si="6"/>
        <v>288.8</v>
      </c>
      <c r="H35" s="21">
        <f t="shared" si="7"/>
        <v>677.6</v>
      </c>
    </row>
    <row r="36" spans="1:10" ht="36.75" customHeight="1">
      <c r="A36" s="225"/>
      <c r="B36" s="8" t="s">
        <v>234</v>
      </c>
      <c r="C36" s="4"/>
      <c r="D36" s="221">
        <v>1261</v>
      </c>
      <c r="E36" s="221">
        <f>240</f>
        <v>240</v>
      </c>
      <c r="F36" s="221">
        <f>465.9+1033.9+25.4</f>
        <v>1525.2000000000003</v>
      </c>
      <c r="G36" s="21">
        <f t="shared" si="6"/>
        <v>1285.2000000000003</v>
      </c>
      <c r="H36" s="21">
        <f t="shared" si="7"/>
        <v>635.50000000000011</v>
      </c>
    </row>
    <row r="37" spans="1:10" ht="21" customHeight="1">
      <c r="A37" s="225"/>
      <c r="B37" s="170" t="s">
        <v>332</v>
      </c>
      <c r="C37" s="226"/>
      <c r="D37" s="221">
        <v>18.399999999999999</v>
      </c>
      <c r="E37" s="221"/>
      <c r="F37" s="221"/>
      <c r="G37" s="21">
        <f t="shared" si="6"/>
        <v>0</v>
      </c>
      <c r="H37" s="21" t="e">
        <f t="shared" si="7"/>
        <v>#DIV/0!</v>
      </c>
    </row>
    <row r="38" spans="1:10" ht="21" customHeight="1">
      <c r="A38" s="225"/>
      <c r="B38" s="8" t="s">
        <v>139</v>
      </c>
      <c r="C38" s="226"/>
      <c r="D38" s="221">
        <v>217</v>
      </c>
      <c r="E38" s="221"/>
      <c r="F38" s="221">
        <f>14.6+155.5</f>
        <v>170.1</v>
      </c>
      <c r="G38" s="21">
        <f t="shared" si="6"/>
        <v>170.1</v>
      </c>
      <c r="H38" s="21" t="e">
        <f t="shared" si="7"/>
        <v>#DIV/0!</v>
      </c>
    </row>
    <row r="39" spans="1:10" ht="20.25" customHeight="1">
      <c r="A39" s="225"/>
      <c r="B39" s="8" t="s">
        <v>109</v>
      </c>
      <c r="C39" s="226"/>
      <c r="D39" s="221">
        <v>36643.699999999997</v>
      </c>
      <c r="E39" s="130">
        <f>32000+2080</f>
        <v>34080</v>
      </c>
      <c r="F39" s="221">
        <v>64770.6</v>
      </c>
      <c r="G39" s="21">
        <f t="shared" si="6"/>
        <v>30690.6</v>
      </c>
      <c r="H39" s="21">
        <f t="shared" si="7"/>
        <v>190.05457746478874</v>
      </c>
    </row>
    <row r="40" spans="1:10" ht="21" customHeight="1">
      <c r="A40" s="225"/>
      <c r="B40" s="8" t="s">
        <v>127</v>
      </c>
      <c r="C40" s="226"/>
      <c r="D40" s="221">
        <v>1724.6</v>
      </c>
      <c r="E40" s="221">
        <f>1900</f>
        <v>1900</v>
      </c>
      <c r="F40" s="221">
        <f>1835.8+1278.3</f>
        <v>3114.1</v>
      </c>
      <c r="G40" s="21">
        <f t="shared" si="6"/>
        <v>1214.0999999999999</v>
      </c>
      <c r="H40" s="21">
        <f t="shared" si="7"/>
        <v>163.9</v>
      </c>
      <c r="J40" s="212"/>
    </row>
    <row r="41" spans="1:10" ht="20.25" customHeight="1">
      <c r="A41" s="225"/>
      <c r="B41" s="8" t="s">
        <v>129</v>
      </c>
      <c r="C41" s="226"/>
      <c r="D41" s="221">
        <v>292.39999999999998</v>
      </c>
      <c r="E41" s="221">
        <v>148.19999999999999</v>
      </c>
      <c r="F41" s="221">
        <v>148.19999999999999</v>
      </c>
      <c r="G41" s="21">
        <f t="shared" si="6"/>
        <v>0</v>
      </c>
      <c r="H41" s="21">
        <f t="shared" si="7"/>
        <v>100</v>
      </c>
      <c r="J41" s="212"/>
    </row>
    <row r="42" spans="1:10" ht="21" customHeight="1">
      <c r="A42" s="225"/>
      <c r="B42" s="8" t="s">
        <v>121</v>
      </c>
      <c r="C42" s="226"/>
      <c r="D42" s="221">
        <v>4664.7</v>
      </c>
      <c r="E42" s="221">
        <f>7.6+4158.1+6.7</f>
        <v>4172.4000000000005</v>
      </c>
      <c r="F42" s="221">
        <f>9.4+4158.1+6.4</f>
        <v>4173.8999999999996</v>
      </c>
      <c r="G42" s="21">
        <f t="shared" si="6"/>
        <v>1.4999999999990905</v>
      </c>
      <c r="H42" s="21">
        <f t="shared" si="7"/>
        <v>100.03595053206786</v>
      </c>
      <c r="J42" s="212"/>
    </row>
    <row r="43" spans="1:10" ht="20.25" customHeight="1">
      <c r="A43" s="225"/>
      <c r="B43" s="10" t="s">
        <v>122</v>
      </c>
      <c r="C43" s="226"/>
      <c r="D43" s="221">
        <v>336.2</v>
      </c>
      <c r="E43" s="221">
        <f>0.9+351.5+2</f>
        <v>354.4</v>
      </c>
      <c r="F43" s="221">
        <f>0.6+351.4+1.5</f>
        <v>353.5</v>
      </c>
      <c r="G43" s="21">
        <f t="shared" si="6"/>
        <v>-0.89999999999997726</v>
      </c>
      <c r="H43" s="21">
        <f t="shared" si="7"/>
        <v>99.746049661399553</v>
      </c>
      <c r="J43" s="212"/>
    </row>
    <row r="44" spans="1:10" ht="20.25" customHeight="1">
      <c r="A44" s="225"/>
      <c r="B44" s="8" t="s">
        <v>123</v>
      </c>
      <c r="C44" s="226"/>
      <c r="D44" s="221">
        <v>3483.1</v>
      </c>
      <c r="E44" s="221">
        <f>5.3+5305.7+144</f>
        <v>5455</v>
      </c>
      <c r="F44" s="221">
        <f>7+5305.7+161.6</f>
        <v>5474.3</v>
      </c>
      <c r="G44" s="21"/>
      <c r="H44" s="21"/>
      <c r="J44" s="212"/>
    </row>
    <row r="45" spans="1:10" ht="20.25" customHeight="1">
      <c r="A45" s="225"/>
      <c r="B45" s="8" t="s">
        <v>124</v>
      </c>
      <c r="C45" s="226"/>
      <c r="D45" s="221">
        <v>143.69999999999999</v>
      </c>
      <c r="E45" s="221">
        <f>0.3+250+0.3</f>
        <v>250.60000000000002</v>
      </c>
      <c r="F45" s="221">
        <f>0.3+247.3+0.6</f>
        <v>248.20000000000002</v>
      </c>
      <c r="G45" s="21"/>
      <c r="H45" s="21"/>
      <c r="J45" s="212"/>
    </row>
    <row r="46" spans="1:10" ht="24.75" customHeight="1">
      <c r="A46" s="306" t="s">
        <v>191</v>
      </c>
      <c r="B46" s="307"/>
      <c r="C46" s="228">
        <v>1015</v>
      </c>
      <c r="D46" s="141">
        <f>SUM(D47:D80)</f>
        <v>1834.5</v>
      </c>
      <c r="E46" s="141">
        <f>SUM(E47:E80)</f>
        <v>2402.7000000000003</v>
      </c>
      <c r="F46" s="141">
        <f>SUM(F47:F80)</f>
        <v>3011.1000000000004</v>
      </c>
      <c r="G46" s="215">
        <f t="shared" si="6"/>
        <v>608.40000000000009</v>
      </c>
      <c r="H46" s="215">
        <f t="shared" si="7"/>
        <v>125.32151329754026</v>
      </c>
      <c r="J46" s="216"/>
    </row>
    <row r="47" spans="1:10" ht="40.5" customHeight="1">
      <c r="A47" s="225"/>
      <c r="B47" s="16" t="s">
        <v>186</v>
      </c>
      <c r="C47" s="4"/>
      <c r="D47" s="134">
        <v>45.2</v>
      </c>
      <c r="E47" s="221">
        <f>75</f>
        <v>75</v>
      </c>
      <c r="F47" s="134">
        <f>66.1</f>
        <v>66.099999999999994</v>
      </c>
      <c r="G47" s="21">
        <f t="shared" si="6"/>
        <v>-8.9000000000000057</v>
      </c>
      <c r="H47" s="21">
        <f t="shared" si="7"/>
        <v>88.133333333333326</v>
      </c>
    </row>
    <row r="48" spans="1:10" ht="54" customHeight="1">
      <c r="A48" s="225"/>
      <c r="B48" s="19" t="s">
        <v>113</v>
      </c>
      <c r="C48" s="4"/>
      <c r="D48" s="134">
        <v>7.8</v>
      </c>
      <c r="E48" s="221">
        <f>9</f>
        <v>9</v>
      </c>
      <c r="F48" s="134">
        <f>12.4</f>
        <v>12.4</v>
      </c>
      <c r="G48" s="21">
        <f t="shared" si="6"/>
        <v>3.4000000000000004</v>
      </c>
      <c r="H48" s="21">
        <f t="shared" si="7"/>
        <v>137.77777777777777</v>
      </c>
    </row>
    <row r="49" spans="1:8" ht="22.5" customHeight="1">
      <c r="A49" s="225"/>
      <c r="B49" s="19" t="s">
        <v>125</v>
      </c>
      <c r="C49" s="226"/>
      <c r="D49" s="134">
        <v>543.70000000000005</v>
      </c>
      <c r="E49" s="134"/>
      <c r="F49" s="134"/>
      <c r="G49" s="21">
        <f t="shared" si="6"/>
        <v>0</v>
      </c>
      <c r="H49" s="21" t="e">
        <f t="shared" si="7"/>
        <v>#DIV/0!</v>
      </c>
    </row>
    <row r="50" spans="1:8" ht="96" customHeight="1">
      <c r="A50" s="225"/>
      <c r="B50" s="8" t="s">
        <v>341</v>
      </c>
      <c r="C50" s="226"/>
      <c r="D50" s="134">
        <v>113.1</v>
      </c>
      <c r="E50" s="134">
        <f>30</f>
        <v>30</v>
      </c>
      <c r="F50" s="134">
        <f>77.1</f>
        <v>77.099999999999994</v>
      </c>
      <c r="G50" s="21">
        <f t="shared" si="6"/>
        <v>47.099999999999994</v>
      </c>
      <c r="H50" s="21">
        <f t="shared" si="7"/>
        <v>257</v>
      </c>
    </row>
    <row r="51" spans="1:8" ht="20.25" customHeight="1">
      <c r="A51" s="225"/>
      <c r="B51" s="19" t="s">
        <v>115</v>
      </c>
      <c r="C51" s="226"/>
      <c r="D51" s="134">
        <v>31.3</v>
      </c>
      <c r="E51" s="134">
        <f>33</f>
        <v>33</v>
      </c>
      <c r="F51" s="134">
        <f>33.5</f>
        <v>33.5</v>
      </c>
      <c r="G51" s="21">
        <f t="shared" si="6"/>
        <v>0.5</v>
      </c>
      <c r="H51" s="21">
        <f t="shared" si="7"/>
        <v>101.51515151515152</v>
      </c>
    </row>
    <row r="52" spans="1:8" ht="20.25" customHeight="1">
      <c r="A52" s="225"/>
      <c r="B52" s="19" t="s">
        <v>184</v>
      </c>
      <c r="C52" s="226"/>
      <c r="D52" s="134">
        <v>10.5</v>
      </c>
      <c r="E52" s="134">
        <f>10.5</f>
        <v>10.5</v>
      </c>
      <c r="F52" s="134">
        <f>10.8</f>
        <v>10.8</v>
      </c>
      <c r="G52" s="21">
        <f t="shared" si="6"/>
        <v>0.30000000000000071</v>
      </c>
      <c r="H52" s="21">
        <f t="shared" si="7"/>
        <v>102.85714285714288</v>
      </c>
    </row>
    <row r="53" spans="1:8" ht="36.75" customHeight="1">
      <c r="A53" s="229"/>
      <c r="B53" s="19" t="s">
        <v>140</v>
      </c>
      <c r="C53" s="187"/>
      <c r="D53" s="134">
        <v>140.80000000000001</v>
      </c>
      <c r="E53" s="134">
        <f>500</f>
        <v>500</v>
      </c>
      <c r="F53" s="134">
        <f>363.5+38.9</f>
        <v>402.4</v>
      </c>
      <c r="G53" s="21">
        <f t="shared" si="6"/>
        <v>-97.600000000000023</v>
      </c>
      <c r="H53" s="21">
        <f t="shared" si="7"/>
        <v>80.47999999999999</v>
      </c>
    </row>
    <row r="54" spans="1:8" ht="18" customHeight="1">
      <c r="A54" s="229"/>
      <c r="B54" s="19" t="s">
        <v>116</v>
      </c>
      <c r="C54" s="187"/>
      <c r="D54" s="134">
        <v>40.700000000000003</v>
      </c>
      <c r="E54" s="221">
        <f>52</f>
        <v>52</v>
      </c>
      <c r="F54" s="134">
        <f>57.6</f>
        <v>57.6</v>
      </c>
      <c r="G54" s="21">
        <f t="shared" si="6"/>
        <v>5.6000000000000014</v>
      </c>
      <c r="H54" s="21">
        <f t="shared" si="7"/>
        <v>110.76923076923077</v>
      </c>
    </row>
    <row r="55" spans="1:8" ht="18" customHeight="1">
      <c r="A55" s="225"/>
      <c r="B55" s="19" t="s">
        <v>117</v>
      </c>
      <c r="C55" s="226"/>
      <c r="D55" s="134">
        <v>30.5</v>
      </c>
      <c r="E55" s="227">
        <f>31.5</f>
        <v>31.5</v>
      </c>
      <c r="F55" s="134">
        <f>34.8</f>
        <v>34.799999999999997</v>
      </c>
      <c r="G55" s="21">
        <f t="shared" si="6"/>
        <v>3.2999999999999972</v>
      </c>
      <c r="H55" s="21">
        <f t="shared" si="7"/>
        <v>110.47619047619047</v>
      </c>
    </row>
    <row r="56" spans="1:8" ht="18" customHeight="1">
      <c r="A56" s="225"/>
      <c r="B56" s="19" t="s">
        <v>118</v>
      </c>
      <c r="C56" s="226"/>
      <c r="D56" s="134"/>
      <c r="E56" s="227">
        <f>3</f>
        <v>3</v>
      </c>
      <c r="F56" s="134"/>
      <c r="G56" s="21">
        <f t="shared" si="6"/>
        <v>-3</v>
      </c>
      <c r="H56" s="65">
        <f t="shared" si="7"/>
        <v>0</v>
      </c>
    </row>
    <row r="57" spans="1:8" ht="18" customHeight="1">
      <c r="A57" s="225"/>
      <c r="B57" s="19" t="s">
        <v>119</v>
      </c>
      <c r="C57" s="226"/>
      <c r="D57" s="134">
        <v>24.4</v>
      </c>
      <c r="E57" s="227">
        <f>25.5</f>
        <v>25.5</v>
      </c>
      <c r="F57" s="134">
        <f>50.7</f>
        <v>50.7</v>
      </c>
      <c r="G57" s="21">
        <f t="shared" si="6"/>
        <v>25.200000000000003</v>
      </c>
      <c r="H57" s="21">
        <f t="shared" si="7"/>
        <v>198.8235294117647</v>
      </c>
    </row>
    <row r="58" spans="1:8" ht="18" customHeight="1">
      <c r="A58" s="225"/>
      <c r="B58" s="19" t="s">
        <v>209</v>
      </c>
      <c r="C58" s="226"/>
      <c r="D58" s="134">
        <v>8.8000000000000007</v>
      </c>
      <c r="E58" s="227">
        <f>19.4</f>
        <v>19.399999999999999</v>
      </c>
      <c r="F58" s="134">
        <f>15.3</f>
        <v>15.3</v>
      </c>
      <c r="G58" s="21">
        <f t="shared" si="6"/>
        <v>-4.0999999999999979</v>
      </c>
      <c r="H58" s="21">
        <f t="shared" si="7"/>
        <v>78.86597938144331</v>
      </c>
    </row>
    <row r="59" spans="1:8" ht="41.25" customHeight="1">
      <c r="A59" s="225"/>
      <c r="B59" s="19" t="s">
        <v>342</v>
      </c>
      <c r="C59" s="226"/>
      <c r="D59" s="134">
        <v>27.9</v>
      </c>
      <c r="E59" s="134">
        <f>1.2</f>
        <v>1.2</v>
      </c>
      <c r="F59" s="134">
        <f>53.9+31.6</f>
        <v>85.5</v>
      </c>
      <c r="G59" s="21">
        <f t="shared" si="6"/>
        <v>84.3</v>
      </c>
      <c r="H59" s="21">
        <f t="shared" si="7"/>
        <v>7125</v>
      </c>
    </row>
    <row r="60" spans="1:8" ht="18" customHeight="1">
      <c r="A60" s="225"/>
      <c r="B60" s="19" t="s">
        <v>120</v>
      </c>
      <c r="C60" s="226"/>
      <c r="D60" s="134">
        <v>32.799999999999997</v>
      </c>
      <c r="E60" s="134">
        <f>30</f>
        <v>30</v>
      </c>
      <c r="F60" s="134">
        <f>19.6</f>
        <v>19.600000000000001</v>
      </c>
      <c r="G60" s="21">
        <f t="shared" si="6"/>
        <v>-10.399999999999999</v>
      </c>
      <c r="H60" s="21">
        <f t="shared" si="7"/>
        <v>65.333333333333343</v>
      </c>
    </row>
    <row r="61" spans="1:8" ht="18" customHeight="1">
      <c r="A61" s="225"/>
      <c r="B61" s="19" t="s">
        <v>271</v>
      </c>
      <c r="C61" s="226"/>
      <c r="D61" s="134">
        <v>12.3</v>
      </c>
      <c r="E61" s="134">
        <f>15</f>
        <v>15</v>
      </c>
      <c r="F61" s="134">
        <f>32.1</f>
        <v>32.1</v>
      </c>
      <c r="G61" s="21"/>
      <c r="H61" s="21"/>
    </row>
    <row r="62" spans="1:8" ht="109.5" customHeight="1">
      <c r="A62" s="229"/>
      <c r="B62" s="101" t="s">
        <v>367</v>
      </c>
      <c r="C62" s="187"/>
      <c r="D62" s="134">
        <v>139.19999999999999</v>
      </c>
      <c r="E62" s="134">
        <f>187.5</f>
        <v>187.5</v>
      </c>
      <c r="F62" s="134">
        <f>465.9+6.2</f>
        <v>472.09999999999997</v>
      </c>
      <c r="G62" s="21">
        <f t="shared" si="6"/>
        <v>284.59999999999997</v>
      </c>
      <c r="H62" s="21">
        <f t="shared" si="7"/>
        <v>251.78666666666663</v>
      </c>
    </row>
    <row r="63" spans="1:8" ht="19.5" customHeight="1">
      <c r="A63" s="225"/>
      <c r="B63" s="19" t="s">
        <v>312</v>
      </c>
      <c r="C63" s="187"/>
      <c r="D63" s="134"/>
      <c r="E63" s="134">
        <f>0.2</f>
        <v>0.2</v>
      </c>
      <c r="F63" s="134"/>
      <c r="G63" s="21">
        <f t="shared" ref="G63" si="10">F63-E63</f>
        <v>-0.2</v>
      </c>
      <c r="H63" s="21">
        <f t="shared" ref="H63" si="11">(F63/E63)*100</f>
        <v>0</v>
      </c>
    </row>
    <row r="64" spans="1:8" ht="18.75" customHeight="1">
      <c r="A64" s="225"/>
      <c r="B64" s="19" t="s">
        <v>154</v>
      </c>
      <c r="C64" s="226"/>
      <c r="D64" s="134">
        <v>4.3</v>
      </c>
      <c r="E64" s="134">
        <f>12.1</f>
        <v>12.1</v>
      </c>
      <c r="F64" s="134">
        <f>19+3.2</f>
        <v>22.2</v>
      </c>
      <c r="G64" s="21">
        <f t="shared" ref="G64:G107" si="12">F64-E64</f>
        <v>10.1</v>
      </c>
      <c r="H64" s="21">
        <f t="shared" ref="H64:H107" si="13">(F64/E64)*100</f>
        <v>183.47107438016528</v>
      </c>
    </row>
    <row r="65" spans="1:8" ht="19.5" customHeight="1">
      <c r="A65" s="225"/>
      <c r="B65" s="19" t="s">
        <v>141</v>
      </c>
      <c r="C65" s="226"/>
      <c r="D65" s="134">
        <v>0.6</v>
      </c>
      <c r="E65" s="134">
        <f>0.9</f>
        <v>0.9</v>
      </c>
      <c r="F65" s="134">
        <f>0.5</f>
        <v>0.5</v>
      </c>
      <c r="G65" s="21">
        <f t="shared" si="12"/>
        <v>-0.4</v>
      </c>
      <c r="H65" s="21">
        <f t="shared" si="13"/>
        <v>55.555555555555557</v>
      </c>
    </row>
    <row r="66" spans="1:8" ht="19.5" customHeight="1">
      <c r="A66" s="225"/>
      <c r="B66" s="19" t="s">
        <v>204</v>
      </c>
      <c r="C66" s="226"/>
      <c r="D66" s="134">
        <v>45</v>
      </c>
      <c r="E66" s="134">
        <f>38.4</f>
        <v>38.4</v>
      </c>
      <c r="F66" s="134">
        <f>81+1.8</f>
        <v>82.8</v>
      </c>
      <c r="G66" s="21">
        <f t="shared" si="12"/>
        <v>44.4</v>
      </c>
      <c r="H66" s="21">
        <f t="shared" si="13"/>
        <v>215.625</v>
      </c>
    </row>
    <row r="67" spans="1:8" ht="36" customHeight="1">
      <c r="A67" s="225"/>
      <c r="B67" s="8" t="s">
        <v>252</v>
      </c>
      <c r="C67" s="226"/>
      <c r="D67" s="134"/>
      <c r="E67" s="134">
        <v>254.5</v>
      </c>
      <c r="F67" s="134"/>
      <c r="G67" s="21"/>
      <c r="H67" s="21"/>
    </row>
    <row r="68" spans="1:8" ht="20.25" customHeight="1">
      <c r="A68" s="225"/>
      <c r="B68" s="19" t="s">
        <v>155</v>
      </c>
      <c r="C68" s="176"/>
      <c r="D68" s="134">
        <v>373.1</v>
      </c>
      <c r="E68" s="134">
        <f>377</f>
        <v>377</v>
      </c>
      <c r="F68" s="134">
        <f>432.9</f>
        <v>432.9</v>
      </c>
      <c r="G68" s="21">
        <f t="shared" si="12"/>
        <v>55.899999999999977</v>
      </c>
      <c r="H68" s="21">
        <f t="shared" si="13"/>
        <v>114.82758620689654</v>
      </c>
    </row>
    <row r="69" spans="1:8" ht="35.25" customHeight="1">
      <c r="A69" s="225"/>
      <c r="B69" s="19" t="s">
        <v>203</v>
      </c>
      <c r="C69" s="176"/>
      <c r="D69" s="134">
        <v>4.5999999999999996</v>
      </c>
      <c r="E69" s="134"/>
      <c r="F69" s="134">
        <v>5.4</v>
      </c>
      <c r="G69" s="21">
        <f t="shared" si="12"/>
        <v>5.4</v>
      </c>
      <c r="H69" s="21"/>
    </row>
    <row r="70" spans="1:8" ht="36.75" customHeight="1">
      <c r="A70" s="225"/>
      <c r="B70" s="19" t="s">
        <v>203</v>
      </c>
      <c r="C70" s="176"/>
      <c r="D70" s="134"/>
      <c r="E70" s="134">
        <v>12</v>
      </c>
      <c r="F70" s="134"/>
      <c r="G70" s="21">
        <f t="shared" si="12"/>
        <v>-12</v>
      </c>
      <c r="H70" s="21">
        <f t="shared" si="13"/>
        <v>0</v>
      </c>
    </row>
    <row r="71" spans="1:8" ht="36" customHeight="1">
      <c r="A71" s="225"/>
      <c r="B71" s="8" t="s">
        <v>343</v>
      </c>
      <c r="C71" s="176"/>
      <c r="D71" s="134"/>
      <c r="E71" s="134"/>
      <c r="F71" s="134"/>
      <c r="G71" s="21">
        <f t="shared" si="12"/>
        <v>0</v>
      </c>
      <c r="H71" s="21" t="e">
        <f t="shared" si="13"/>
        <v>#DIV/0!</v>
      </c>
    </row>
    <row r="72" spans="1:8" ht="36" customHeight="1">
      <c r="A72" s="225"/>
      <c r="B72" s="8" t="s">
        <v>236</v>
      </c>
      <c r="C72" s="176"/>
      <c r="D72" s="134">
        <v>1</v>
      </c>
      <c r="E72" s="134">
        <v>1</v>
      </c>
      <c r="F72" s="134">
        <v>2.1</v>
      </c>
      <c r="G72" s="21">
        <f t="shared" si="12"/>
        <v>1.1000000000000001</v>
      </c>
      <c r="H72" s="65">
        <f t="shared" si="13"/>
        <v>210</v>
      </c>
    </row>
    <row r="73" spans="1:8" ht="35.25" customHeight="1">
      <c r="A73" s="225"/>
      <c r="B73" s="8" t="s">
        <v>243</v>
      </c>
      <c r="C73" s="176"/>
      <c r="D73" s="134"/>
      <c r="E73" s="134"/>
      <c r="F73" s="134">
        <v>49.1</v>
      </c>
      <c r="G73" s="21">
        <f t="shared" si="12"/>
        <v>49.1</v>
      </c>
      <c r="H73" s="65" t="e">
        <f t="shared" si="13"/>
        <v>#DIV/0!</v>
      </c>
    </row>
    <row r="74" spans="1:8" ht="18.75" customHeight="1">
      <c r="A74" s="225"/>
      <c r="B74" s="177" t="s">
        <v>272</v>
      </c>
      <c r="C74" s="176"/>
      <c r="D74" s="134">
        <v>17.7</v>
      </c>
      <c r="E74" s="134">
        <f>387</f>
        <v>387</v>
      </c>
      <c r="F74" s="134">
        <f>194</f>
        <v>194</v>
      </c>
      <c r="G74" s="21">
        <f t="shared" si="12"/>
        <v>-193</v>
      </c>
      <c r="H74" s="21">
        <f t="shared" si="13"/>
        <v>50.129198966408275</v>
      </c>
    </row>
    <row r="75" spans="1:8" ht="18.75" customHeight="1">
      <c r="A75" s="225"/>
      <c r="B75" s="19" t="s">
        <v>317</v>
      </c>
      <c r="C75" s="176"/>
      <c r="D75" s="134"/>
      <c r="E75" s="134"/>
      <c r="F75" s="134">
        <f>33.4</f>
        <v>33.4</v>
      </c>
      <c r="G75" s="21"/>
      <c r="H75" s="21"/>
    </row>
    <row r="76" spans="1:8" ht="36" customHeight="1">
      <c r="A76" s="225"/>
      <c r="B76" s="8" t="s">
        <v>273</v>
      </c>
      <c r="C76" s="176"/>
      <c r="D76" s="134">
        <v>80.2</v>
      </c>
      <c r="E76" s="134"/>
      <c r="F76" s="134"/>
      <c r="G76" s="21">
        <f t="shared" si="12"/>
        <v>0</v>
      </c>
      <c r="H76" s="65" t="e">
        <f t="shared" si="13"/>
        <v>#DIV/0!</v>
      </c>
    </row>
    <row r="77" spans="1:8" ht="96" customHeight="1">
      <c r="A77" s="225"/>
      <c r="B77" s="8" t="s">
        <v>318</v>
      </c>
      <c r="C77" s="176"/>
      <c r="D77" s="134"/>
      <c r="E77" s="134"/>
      <c r="F77" s="134">
        <v>301.8</v>
      </c>
      <c r="G77" s="21">
        <f t="shared" si="12"/>
        <v>301.8</v>
      </c>
      <c r="H77" s="65" t="e">
        <f t="shared" si="13"/>
        <v>#DIV/0!</v>
      </c>
    </row>
    <row r="78" spans="1:8" ht="21" customHeight="1">
      <c r="A78" s="225"/>
      <c r="B78" s="19" t="s">
        <v>320</v>
      </c>
      <c r="C78" s="176"/>
      <c r="D78" s="134"/>
      <c r="E78" s="134"/>
      <c r="F78" s="134">
        <v>144.4</v>
      </c>
      <c r="G78" s="21"/>
      <c r="H78" s="65"/>
    </row>
    <row r="79" spans="1:8" ht="77.25" customHeight="1">
      <c r="A79" s="225"/>
      <c r="B79" s="19" t="s">
        <v>359</v>
      </c>
      <c r="C79" s="176"/>
      <c r="D79" s="134"/>
      <c r="E79" s="134"/>
      <c r="F79" s="134">
        <v>75.5</v>
      </c>
      <c r="G79" s="21"/>
      <c r="H79" s="65"/>
    </row>
    <row r="80" spans="1:8" ht="36" customHeight="1">
      <c r="A80" s="225"/>
      <c r="B80" s="101" t="s">
        <v>248</v>
      </c>
      <c r="C80" s="176"/>
      <c r="D80" s="134">
        <v>99</v>
      </c>
      <c r="E80" s="134">
        <v>297</v>
      </c>
      <c r="F80" s="134">
        <v>297</v>
      </c>
      <c r="G80" s="21">
        <f t="shared" si="12"/>
        <v>0</v>
      </c>
      <c r="H80" s="65">
        <f t="shared" si="13"/>
        <v>100</v>
      </c>
    </row>
    <row r="81" spans="1:10" ht="21" customHeight="1">
      <c r="A81" s="303" t="s">
        <v>76</v>
      </c>
      <c r="B81" s="304"/>
      <c r="C81" s="230"/>
      <c r="D81" s="141"/>
      <c r="E81" s="141"/>
      <c r="F81" s="141"/>
      <c r="G81" s="215"/>
      <c r="H81" s="215"/>
    </row>
    <row r="82" spans="1:10" ht="19.5" customHeight="1">
      <c r="A82" s="306" t="s">
        <v>88</v>
      </c>
      <c r="B82" s="307"/>
      <c r="C82" s="7">
        <v>1021</v>
      </c>
      <c r="D82" s="231">
        <f>SUM(D83:D85)</f>
        <v>40.4</v>
      </c>
      <c r="E82" s="231">
        <f>SUM(E83:E85)</f>
        <v>70</v>
      </c>
      <c r="F82" s="231">
        <f>SUM(F83:F85)</f>
        <v>85</v>
      </c>
      <c r="G82" s="215">
        <f t="shared" si="12"/>
        <v>15</v>
      </c>
      <c r="H82" s="215">
        <f t="shared" si="13"/>
        <v>121.42857142857142</v>
      </c>
    </row>
    <row r="83" spans="1:10" ht="20.25" customHeight="1">
      <c r="A83" s="168"/>
      <c r="B83" s="19" t="s">
        <v>135</v>
      </c>
      <c r="C83" s="7"/>
      <c r="D83" s="134">
        <v>34.5</v>
      </c>
      <c r="E83" s="134">
        <v>56</v>
      </c>
      <c r="F83" s="134">
        <v>85</v>
      </c>
      <c r="G83" s="21">
        <f t="shared" si="12"/>
        <v>29</v>
      </c>
      <c r="H83" s="21">
        <f t="shared" si="13"/>
        <v>151.78571428571428</v>
      </c>
    </row>
    <row r="84" spans="1:10" ht="22.5" customHeight="1">
      <c r="A84" s="168"/>
      <c r="B84" s="19" t="s">
        <v>112</v>
      </c>
      <c r="C84" s="7"/>
      <c r="D84" s="134">
        <v>5.9</v>
      </c>
      <c r="E84" s="134">
        <v>7</v>
      </c>
      <c r="F84" s="134"/>
      <c r="G84" s="21">
        <f t="shared" si="12"/>
        <v>-7</v>
      </c>
      <c r="H84" s="21">
        <f t="shared" si="13"/>
        <v>0</v>
      </c>
    </row>
    <row r="85" spans="1:10" ht="21.75" customHeight="1">
      <c r="A85" s="232"/>
      <c r="B85" s="19" t="s">
        <v>138</v>
      </c>
      <c r="C85" s="4"/>
      <c r="D85" s="134"/>
      <c r="E85" s="134">
        <f>2+5</f>
        <v>7</v>
      </c>
      <c r="F85" s="134"/>
      <c r="G85" s="21">
        <f t="shared" si="12"/>
        <v>-7</v>
      </c>
      <c r="H85" s="21">
        <f t="shared" si="13"/>
        <v>0</v>
      </c>
    </row>
    <row r="86" spans="1:10" ht="21.75" customHeight="1">
      <c r="A86" s="306" t="s">
        <v>189</v>
      </c>
      <c r="B86" s="307"/>
      <c r="C86" s="7">
        <v>1025</v>
      </c>
      <c r="D86" s="231">
        <f>SUM(D87:D101)</f>
        <v>569.59999999999991</v>
      </c>
      <c r="E86" s="231">
        <f>SUM(E87:E100)</f>
        <v>465.1</v>
      </c>
      <c r="F86" s="231">
        <f>SUM(F87:F100)</f>
        <v>626.40000000000009</v>
      </c>
      <c r="G86" s="215">
        <f t="shared" si="12"/>
        <v>161.30000000000007</v>
      </c>
      <c r="H86" s="215">
        <f t="shared" si="13"/>
        <v>134.68071382498388</v>
      </c>
    </row>
    <row r="87" spans="1:10" ht="18" customHeight="1">
      <c r="A87" s="168"/>
      <c r="B87" s="19" t="s">
        <v>114</v>
      </c>
      <c r="C87" s="7"/>
      <c r="D87" s="134">
        <v>65.900000000000006</v>
      </c>
      <c r="E87" s="134">
        <v>69</v>
      </c>
      <c r="F87" s="134">
        <v>83.8</v>
      </c>
      <c r="G87" s="21">
        <f t="shared" si="12"/>
        <v>14.799999999999997</v>
      </c>
      <c r="H87" s="21">
        <f t="shared" si="13"/>
        <v>121.44927536231884</v>
      </c>
    </row>
    <row r="88" spans="1:10" ht="18" customHeight="1">
      <c r="A88" s="168"/>
      <c r="B88" s="19" t="s">
        <v>168</v>
      </c>
      <c r="C88" s="7"/>
      <c r="D88" s="134">
        <v>134.1</v>
      </c>
      <c r="E88" s="134">
        <v>150</v>
      </c>
      <c r="F88" s="134">
        <v>180</v>
      </c>
      <c r="G88" s="21">
        <f t="shared" si="12"/>
        <v>30</v>
      </c>
      <c r="H88" s="21">
        <f t="shared" si="13"/>
        <v>120</v>
      </c>
    </row>
    <row r="89" spans="1:10" ht="35.25" customHeight="1">
      <c r="A89" s="168"/>
      <c r="B89" s="170" t="s">
        <v>334</v>
      </c>
      <c r="C89" s="7"/>
      <c r="D89" s="134"/>
      <c r="E89" s="134"/>
      <c r="F89" s="134">
        <v>83.4</v>
      </c>
      <c r="G89" s="21"/>
      <c r="H89" s="21"/>
    </row>
    <row r="90" spans="1:10" ht="18" customHeight="1">
      <c r="A90" s="168"/>
      <c r="B90" s="19" t="s">
        <v>344</v>
      </c>
      <c r="C90" s="7"/>
      <c r="D90" s="134"/>
      <c r="E90" s="134"/>
      <c r="F90" s="134"/>
      <c r="G90" s="21">
        <f t="shared" si="12"/>
        <v>0</v>
      </c>
      <c r="H90" s="21" t="e">
        <f t="shared" si="13"/>
        <v>#DIV/0!</v>
      </c>
    </row>
    <row r="91" spans="1:10" ht="18" customHeight="1">
      <c r="A91" s="168"/>
      <c r="B91" s="19" t="s">
        <v>143</v>
      </c>
      <c r="C91" s="7"/>
      <c r="D91" s="134">
        <v>40.200000000000003</v>
      </c>
      <c r="E91" s="134">
        <v>45</v>
      </c>
      <c r="F91" s="134">
        <v>55</v>
      </c>
      <c r="G91" s="21">
        <f t="shared" si="12"/>
        <v>10</v>
      </c>
      <c r="H91" s="21">
        <f t="shared" si="13"/>
        <v>122.22222222222223</v>
      </c>
    </row>
    <row r="92" spans="1:10" ht="18" customHeight="1">
      <c r="A92" s="168"/>
      <c r="B92" s="19" t="s">
        <v>144</v>
      </c>
      <c r="C92" s="7"/>
      <c r="D92" s="134">
        <v>52</v>
      </c>
      <c r="E92" s="134">
        <v>70</v>
      </c>
      <c r="F92" s="134">
        <v>82.8</v>
      </c>
      <c r="G92" s="21">
        <f t="shared" si="12"/>
        <v>12.799999999999997</v>
      </c>
      <c r="H92" s="21">
        <f t="shared" si="13"/>
        <v>118.28571428571428</v>
      </c>
    </row>
    <row r="93" spans="1:10" ht="18" customHeight="1">
      <c r="A93" s="168"/>
      <c r="B93" s="19" t="s">
        <v>121</v>
      </c>
      <c r="C93" s="7"/>
      <c r="D93" s="134">
        <v>101.1</v>
      </c>
      <c r="E93" s="134">
        <f>84.4</f>
        <v>84.4</v>
      </c>
      <c r="F93" s="134">
        <f>84.4</f>
        <v>84.4</v>
      </c>
      <c r="G93" s="21">
        <f t="shared" si="12"/>
        <v>0</v>
      </c>
      <c r="H93" s="21">
        <f t="shared" si="13"/>
        <v>100</v>
      </c>
    </row>
    <row r="94" spans="1:10" ht="18" customHeight="1">
      <c r="A94" s="168"/>
      <c r="B94" s="19" t="s">
        <v>122</v>
      </c>
      <c r="C94" s="7"/>
      <c r="D94" s="134">
        <v>3.6</v>
      </c>
      <c r="E94" s="134">
        <v>3.6</v>
      </c>
      <c r="F94" s="134">
        <v>3.6</v>
      </c>
      <c r="G94" s="21">
        <f t="shared" si="12"/>
        <v>0</v>
      </c>
      <c r="H94" s="21">
        <f t="shared" si="13"/>
        <v>100</v>
      </c>
      <c r="J94" s="212"/>
    </row>
    <row r="95" spans="1:10" ht="18" customHeight="1">
      <c r="A95" s="168"/>
      <c r="B95" s="19" t="s">
        <v>123</v>
      </c>
      <c r="C95" s="7"/>
      <c r="D95" s="134">
        <v>35.200000000000003</v>
      </c>
      <c r="E95" s="134">
        <v>39</v>
      </c>
      <c r="F95" s="134">
        <v>39</v>
      </c>
      <c r="G95" s="21">
        <f t="shared" si="12"/>
        <v>0</v>
      </c>
      <c r="H95" s="21">
        <f t="shared" si="13"/>
        <v>100</v>
      </c>
      <c r="J95" s="212"/>
    </row>
    <row r="96" spans="1:10" ht="18.75" customHeight="1">
      <c r="A96" s="168"/>
      <c r="B96" s="19" t="s">
        <v>124</v>
      </c>
      <c r="C96" s="7"/>
      <c r="D96" s="134">
        <v>1.9</v>
      </c>
      <c r="E96" s="134">
        <v>0.3</v>
      </c>
      <c r="F96" s="134">
        <v>3</v>
      </c>
      <c r="G96" s="21">
        <f t="shared" si="12"/>
        <v>2.7</v>
      </c>
      <c r="H96" s="21">
        <f t="shared" si="13"/>
        <v>1000</v>
      </c>
      <c r="J96" s="212"/>
    </row>
    <row r="97" spans="1:10" ht="18" customHeight="1">
      <c r="A97" s="168"/>
      <c r="B97" s="19" t="s">
        <v>145</v>
      </c>
      <c r="C97" s="7"/>
      <c r="D97" s="134">
        <v>105.6</v>
      </c>
      <c r="E97" s="134">
        <v>3.5</v>
      </c>
      <c r="F97" s="134">
        <v>4.9000000000000004</v>
      </c>
      <c r="G97" s="21">
        <f t="shared" si="12"/>
        <v>1.4000000000000004</v>
      </c>
      <c r="H97" s="21">
        <f t="shared" si="13"/>
        <v>140</v>
      </c>
      <c r="J97" s="212"/>
    </row>
    <row r="98" spans="1:10" ht="18" customHeight="1">
      <c r="A98" s="168"/>
      <c r="B98" s="19" t="s">
        <v>38</v>
      </c>
      <c r="C98" s="7"/>
      <c r="D98" s="134">
        <v>0.2</v>
      </c>
      <c r="E98" s="134">
        <v>0.3</v>
      </c>
      <c r="F98" s="134">
        <v>0.3</v>
      </c>
      <c r="G98" s="21">
        <f t="shared" si="12"/>
        <v>0</v>
      </c>
      <c r="H98" s="65">
        <f t="shared" si="13"/>
        <v>100</v>
      </c>
    </row>
    <row r="99" spans="1:10" ht="16.5" customHeight="1">
      <c r="A99" s="233"/>
      <c r="B99" s="19" t="s">
        <v>368</v>
      </c>
      <c r="C99" s="7"/>
      <c r="D99" s="134"/>
      <c r="E99" s="134"/>
      <c r="F99" s="134">
        <v>3.2</v>
      </c>
      <c r="G99" s="21">
        <f t="shared" si="12"/>
        <v>3.2</v>
      </c>
      <c r="H99" s="65" t="e">
        <f t="shared" si="13"/>
        <v>#DIV/0!</v>
      </c>
    </row>
    <row r="100" spans="1:10" ht="37.5" customHeight="1">
      <c r="A100" s="234"/>
      <c r="B100" s="19" t="s">
        <v>232</v>
      </c>
      <c r="C100" s="7"/>
      <c r="D100" s="134">
        <v>3.5</v>
      </c>
      <c r="E100" s="134"/>
      <c r="F100" s="134">
        <v>3</v>
      </c>
      <c r="G100" s="21">
        <f t="shared" si="12"/>
        <v>3</v>
      </c>
      <c r="H100" s="65" t="e">
        <f t="shared" si="13"/>
        <v>#DIV/0!</v>
      </c>
    </row>
    <row r="101" spans="1:10" ht="21.75" customHeight="1">
      <c r="A101" s="234"/>
      <c r="B101" s="8" t="s">
        <v>228</v>
      </c>
      <c r="C101" s="4"/>
      <c r="D101" s="134">
        <v>26.3</v>
      </c>
      <c r="E101" s="134"/>
      <c r="F101" s="134"/>
      <c r="G101" s="21"/>
      <c r="H101" s="65"/>
    </row>
    <row r="102" spans="1:10" ht="22.5" customHeight="1">
      <c r="A102" s="303" t="s">
        <v>10</v>
      </c>
      <c r="B102" s="304"/>
      <c r="C102" s="7">
        <v>1035</v>
      </c>
      <c r="E102" s="141">
        <f>E104+E105</f>
        <v>412</v>
      </c>
      <c r="F102" s="141">
        <f>F103+F104+F105+F107+F106</f>
        <v>572.4</v>
      </c>
      <c r="G102" s="215" t="e">
        <f>F102-#REF!</f>
        <v>#REF!</v>
      </c>
      <c r="H102" s="215" t="e">
        <f>(F102/#REF!)*100</f>
        <v>#REF!</v>
      </c>
    </row>
    <row r="103" spans="1:10" ht="18" customHeight="1">
      <c r="A103" s="235"/>
      <c r="B103" s="8" t="s">
        <v>322</v>
      </c>
      <c r="C103" s="236"/>
      <c r="D103" s="141"/>
      <c r="E103" s="141"/>
      <c r="F103" s="134"/>
      <c r="G103" s="215">
        <f t="shared" si="12"/>
        <v>0</v>
      </c>
      <c r="H103" s="215"/>
    </row>
    <row r="104" spans="1:10" ht="22.5" customHeight="1">
      <c r="A104" s="4"/>
      <c r="B104" s="19" t="s">
        <v>126</v>
      </c>
      <c r="C104" s="237"/>
      <c r="D104" s="134">
        <v>161.19999999999999</v>
      </c>
      <c r="E104" s="134">
        <v>187</v>
      </c>
      <c r="F104" s="134">
        <v>122.6</v>
      </c>
      <c r="G104" s="21">
        <f t="shared" si="12"/>
        <v>-64.400000000000006</v>
      </c>
      <c r="H104" s="21">
        <f t="shared" si="13"/>
        <v>65.561497326203209</v>
      </c>
    </row>
    <row r="105" spans="1:10" ht="21" customHeight="1">
      <c r="A105" s="4"/>
      <c r="B105" s="8" t="s">
        <v>130</v>
      </c>
      <c r="C105" s="176"/>
      <c r="D105" s="134">
        <v>194.4</v>
      </c>
      <c r="E105" s="134">
        <v>225</v>
      </c>
      <c r="F105" s="134">
        <v>334.8</v>
      </c>
      <c r="G105" s="21">
        <f t="shared" si="12"/>
        <v>109.80000000000001</v>
      </c>
      <c r="H105" s="21">
        <f t="shared" si="13"/>
        <v>148.80000000000001</v>
      </c>
    </row>
    <row r="106" spans="1:10" ht="21" customHeight="1">
      <c r="A106" s="4"/>
      <c r="B106" s="8" t="s">
        <v>322</v>
      </c>
      <c r="C106" s="176"/>
      <c r="D106" s="134"/>
      <c r="E106" s="134"/>
      <c r="F106" s="134">
        <v>115</v>
      </c>
      <c r="G106" s="21"/>
      <c r="H106" s="21"/>
    </row>
    <row r="107" spans="1:10" ht="51.75" customHeight="1">
      <c r="A107" s="4"/>
      <c r="B107" s="19" t="s">
        <v>274</v>
      </c>
      <c r="C107" s="176"/>
      <c r="D107" s="134">
        <v>9</v>
      </c>
      <c r="E107" s="221"/>
      <c r="F107" s="134"/>
      <c r="G107" s="21">
        <f t="shared" si="12"/>
        <v>0</v>
      </c>
      <c r="H107" s="65" t="e">
        <f t="shared" si="13"/>
        <v>#DIV/0!</v>
      </c>
    </row>
    <row r="108" spans="1:10" ht="99.75" customHeight="1">
      <c r="B108" s="311" t="s">
        <v>128</v>
      </c>
      <c r="C108" s="311"/>
      <c r="D108" s="309"/>
      <c r="E108" s="309"/>
      <c r="F108" s="311" t="s">
        <v>237</v>
      </c>
      <c r="G108" s="311"/>
      <c r="H108" s="311"/>
    </row>
    <row r="109" spans="1:10" ht="18.75" customHeight="1">
      <c r="B109" s="62" t="s">
        <v>53</v>
      </c>
      <c r="C109" s="3"/>
      <c r="D109" s="310" t="s">
        <v>9</v>
      </c>
      <c r="E109" s="310"/>
      <c r="F109" s="305" t="s">
        <v>14</v>
      </c>
      <c r="G109" s="305"/>
      <c r="H109" s="305"/>
    </row>
    <row r="110" spans="1:10">
      <c r="B110" s="3"/>
    </row>
    <row r="111" spans="1:10">
      <c r="B111" s="3"/>
    </row>
    <row r="112" spans="1:10">
      <c r="B112" s="3"/>
    </row>
    <row r="113" spans="2:2">
      <c r="B113" s="3"/>
    </row>
    <row r="114" spans="2:2">
      <c r="B114" s="3"/>
    </row>
    <row r="115" spans="2:2">
      <c r="B115" s="3"/>
    </row>
    <row r="116" spans="2:2">
      <c r="B116" s="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  <row r="131" spans="2:2">
      <c r="B131" s="3"/>
    </row>
    <row r="132" spans="2:2">
      <c r="B132" s="3"/>
    </row>
    <row r="133" spans="2:2">
      <c r="B133" s="3"/>
    </row>
    <row r="134" spans="2:2">
      <c r="B134" s="3"/>
    </row>
    <row r="135" spans="2:2">
      <c r="B135" s="3"/>
    </row>
    <row r="136" spans="2:2">
      <c r="B136" s="3"/>
    </row>
    <row r="137" spans="2:2">
      <c r="B137" s="3"/>
    </row>
    <row r="138" spans="2:2">
      <c r="B138" s="3"/>
    </row>
    <row r="139" spans="2:2">
      <c r="B139" s="3"/>
    </row>
    <row r="140" spans="2:2">
      <c r="B140" s="3"/>
    </row>
    <row r="141" spans="2:2">
      <c r="B141" s="3"/>
    </row>
    <row r="142" spans="2:2">
      <c r="B142" s="3"/>
    </row>
    <row r="143" spans="2:2">
      <c r="B143" s="3"/>
    </row>
    <row r="144" spans="2:2">
      <c r="B144" s="3"/>
    </row>
    <row r="145" spans="2:2">
      <c r="B145" s="3"/>
    </row>
    <row r="146" spans="2:2">
      <c r="B146" s="3"/>
    </row>
    <row r="147" spans="2:2">
      <c r="B147" s="3"/>
    </row>
    <row r="148" spans="2:2">
      <c r="B148" s="3"/>
    </row>
    <row r="149" spans="2:2">
      <c r="B149" s="3"/>
    </row>
    <row r="150" spans="2:2">
      <c r="B150" s="3"/>
    </row>
    <row r="151" spans="2:2">
      <c r="B151" s="3"/>
    </row>
    <row r="152" spans="2:2">
      <c r="B152" s="3"/>
    </row>
    <row r="153" spans="2:2">
      <c r="B153" s="3"/>
    </row>
    <row r="154" spans="2:2">
      <c r="B154" s="3"/>
    </row>
    <row r="155" spans="2:2">
      <c r="B155" s="3"/>
    </row>
    <row r="156" spans="2:2">
      <c r="B156" s="3"/>
    </row>
    <row r="157" spans="2:2">
      <c r="B157" s="3"/>
    </row>
    <row r="158" spans="2:2">
      <c r="B158" s="3"/>
    </row>
    <row r="159" spans="2:2">
      <c r="B159" s="3"/>
    </row>
    <row r="160" spans="2:2">
      <c r="B160" s="3"/>
    </row>
    <row r="161" spans="2:2">
      <c r="B161" s="3"/>
    </row>
    <row r="162" spans="2:2">
      <c r="B162" s="3"/>
    </row>
    <row r="163" spans="2:2">
      <c r="B163" s="3"/>
    </row>
    <row r="164" spans="2:2">
      <c r="B164" s="3"/>
    </row>
    <row r="165" spans="2:2">
      <c r="B165" s="3"/>
    </row>
    <row r="166" spans="2:2">
      <c r="B166" s="3"/>
    </row>
    <row r="167" spans="2:2">
      <c r="B167" s="3"/>
    </row>
    <row r="168" spans="2:2">
      <c r="B168" s="3"/>
    </row>
    <row r="169" spans="2:2">
      <c r="B169" s="3"/>
    </row>
    <row r="170" spans="2:2">
      <c r="B170" s="3"/>
    </row>
    <row r="171" spans="2:2">
      <c r="B171" s="3"/>
    </row>
    <row r="172" spans="2:2">
      <c r="B172" s="3"/>
    </row>
    <row r="173" spans="2:2">
      <c r="B173" s="3"/>
    </row>
    <row r="174" spans="2:2">
      <c r="B174" s="3"/>
    </row>
    <row r="175" spans="2:2">
      <c r="B175" s="3"/>
    </row>
    <row r="176" spans="2:2">
      <c r="B176" s="3"/>
    </row>
    <row r="177" spans="2:2">
      <c r="B177" s="3"/>
    </row>
    <row r="178" spans="2:2">
      <c r="B178" s="3"/>
    </row>
    <row r="179" spans="2:2">
      <c r="B179" s="3"/>
    </row>
    <row r="180" spans="2:2">
      <c r="B180" s="3"/>
    </row>
    <row r="181" spans="2:2">
      <c r="B181" s="3"/>
    </row>
    <row r="182" spans="2:2">
      <c r="B182" s="3"/>
    </row>
    <row r="183" spans="2:2">
      <c r="B183" s="3"/>
    </row>
    <row r="184" spans="2:2">
      <c r="B184" s="3"/>
    </row>
    <row r="185" spans="2:2">
      <c r="B185" s="3"/>
    </row>
    <row r="186" spans="2:2">
      <c r="B186" s="3"/>
    </row>
    <row r="187" spans="2:2">
      <c r="B187" s="3"/>
    </row>
    <row r="188" spans="2:2">
      <c r="B188" s="3"/>
    </row>
    <row r="189" spans="2:2">
      <c r="B189" s="3"/>
    </row>
    <row r="190" spans="2:2">
      <c r="B190" s="3"/>
    </row>
    <row r="191" spans="2:2">
      <c r="B191" s="3"/>
    </row>
    <row r="192" spans="2:2">
      <c r="B192" s="3"/>
    </row>
    <row r="193" spans="2:2">
      <c r="B193" s="3"/>
    </row>
    <row r="194" spans="2:2">
      <c r="B194" s="3"/>
    </row>
    <row r="195" spans="2:2">
      <c r="B195" s="3"/>
    </row>
    <row r="196" spans="2:2">
      <c r="B196" s="3"/>
    </row>
    <row r="197" spans="2:2">
      <c r="B197" s="3"/>
    </row>
    <row r="198" spans="2:2">
      <c r="B198" s="3"/>
    </row>
    <row r="199" spans="2:2">
      <c r="B199" s="3"/>
    </row>
    <row r="200" spans="2:2">
      <c r="B200" s="3"/>
    </row>
    <row r="201" spans="2:2">
      <c r="B201" s="3"/>
    </row>
    <row r="202" spans="2:2">
      <c r="B202" s="3"/>
    </row>
    <row r="203" spans="2:2">
      <c r="B203" s="3"/>
    </row>
    <row r="204" spans="2:2">
      <c r="B204" s="3"/>
    </row>
    <row r="205" spans="2:2">
      <c r="B205" s="3"/>
    </row>
    <row r="206" spans="2:2">
      <c r="B206" s="3"/>
    </row>
    <row r="207" spans="2:2">
      <c r="B207" s="3"/>
    </row>
    <row r="208" spans="2:2">
      <c r="B208" s="3"/>
    </row>
    <row r="209" spans="2:2">
      <c r="B209" s="3"/>
    </row>
    <row r="210" spans="2:2">
      <c r="B210" s="3"/>
    </row>
    <row r="211" spans="2:2">
      <c r="B211" s="3"/>
    </row>
    <row r="212" spans="2:2">
      <c r="B212" s="3"/>
    </row>
    <row r="213" spans="2:2">
      <c r="B213" s="3"/>
    </row>
  </sheetData>
  <mergeCells count="19">
    <mergeCell ref="F108:H108"/>
    <mergeCell ref="A26:B26"/>
    <mergeCell ref="A81:B81"/>
    <mergeCell ref="A102:B102"/>
    <mergeCell ref="F109:H109"/>
    <mergeCell ref="A86:B86"/>
    <mergeCell ref="A1:H1"/>
    <mergeCell ref="D108:E108"/>
    <mergeCell ref="D109:E109"/>
    <mergeCell ref="B108:C108"/>
    <mergeCell ref="A25:B25"/>
    <mergeCell ref="A5:B5"/>
    <mergeCell ref="A6:B6"/>
    <mergeCell ref="A11:B11"/>
    <mergeCell ref="A20:B20"/>
    <mergeCell ref="A22:B22"/>
    <mergeCell ref="A27:B27"/>
    <mergeCell ref="A46:B46"/>
    <mergeCell ref="A82:B82"/>
  </mergeCells>
  <printOptions horizontalCentered="1"/>
  <pageMargins left="0.39370078740157483" right="0.39370078740157483" top="0.78740157480314965" bottom="0.39370078740157483" header="0.39370078740157483" footer="0.1968503937007874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R246"/>
  <sheetViews>
    <sheetView view="pageBreakPreview" zoomScale="68" zoomScaleNormal="70" zoomScaleSheetLayoutView="68" workbookViewId="0">
      <selection activeCell="I15" sqref="I15"/>
    </sheetView>
  </sheetViews>
  <sheetFormatPr defaultRowHeight="18.75"/>
  <cols>
    <col min="1" max="1" width="9" style="67" customWidth="1"/>
    <col min="2" max="2" width="63.140625" style="67" customWidth="1"/>
    <col min="3" max="3" width="9.28515625" style="18" customWidth="1"/>
    <col min="4" max="4" width="15.7109375" style="18" customWidth="1"/>
    <col min="5" max="5" width="16.85546875" style="18" customWidth="1"/>
    <col min="6" max="6" width="16.85546875" style="278" customWidth="1"/>
    <col min="7" max="7" width="16.85546875" style="67" customWidth="1"/>
    <col min="8" max="8" width="16.42578125" style="67" customWidth="1"/>
    <col min="9" max="9" width="19.5703125" style="67" customWidth="1"/>
    <col min="10" max="10" width="16.85546875" style="68" bestFit="1" customWidth="1"/>
    <col min="11" max="11" width="17.7109375" style="74" customWidth="1"/>
    <col min="12" max="12" width="17.85546875" style="113" customWidth="1"/>
    <col min="13" max="13" width="17.140625" style="113" customWidth="1"/>
    <col min="14" max="14" width="16.7109375" style="113" customWidth="1"/>
    <col min="15" max="15" width="15.42578125" style="67" bestFit="1" customWidth="1"/>
    <col min="16" max="16" width="12.7109375" style="67" customWidth="1"/>
    <col min="17" max="17" width="21.85546875" style="67" customWidth="1"/>
    <col min="18" max="16384" width="9.140625" style="67"/>
  </cols>
  <sheetData>
    <row r="1" spans="1:18" ht="47.25" customHeight="1">
      <c r="A1" s="72"/>
      <c r="B1" s="318" t="s">
        <v>99</v>
      </c>
      <c r="C1" s="318"/>
      <c r="D1" s="318"/>
      <c r="E1" s="318"/>
      <c r="F1" s="318"/>
      <c r="G1" s="318"/>
      <c r="H1" s="318"/>
    </row>
    <row r="2" spans="1:18" ht="18.75" customHeight="1">
      <c r="A2" s="72"/>
      <c r="B2" s="197"/>
      <c r="C2" s="196"/>
      <c r="D2" s="197"/>
      <c r="E2" s="197"/>
      <c r="F2" s="258"/>
      <c r="G2" s="72"/>
      <c r="H2" s="72" t="s">
        <v>58</v>
      </c>
    </row>
    <row r="3" spans="1:18" s="69" customFormat="1" ht="63" customHeight="1">
      <c r="A3" s="17" t="s">
        <v>6</v>
      </c>
      <c r="B3" s="17" t="s">
        <v>20</v>
      </c>
      <c r="C3" s="17" t="s">
        <v>4</v>
      </c>
      <c r="D3" s="5" t="s">
        <v>335</v>
      </c>
      <c r="E3" s="200" t="s">
        <v>337</v>
      </c>
      <c r="F3" s="259" t="s">
        <v>338</v>
      </c>
      <c r="G3" s="4" t="s">
        <v>178</v>
      </c>
      <c r="H3" s="4" t="s">
        <v>179</v>
      </c>
      <c r="J3" s="73"/>
      <c r="K3" s="74"/>
      <c r="L3" s="74"/>
      <c r="M3" s="74"/>
      <c r="N3" s="74"/>
    </row>
    <row r="4" spans="1:18" s="69" customFormat="1" ht="19.5" customHeight="1">
      <c r="A4" s="4">
        <v>1</v>
      </c>
      <c r="B4" s="4">
        <v>2</v>
      </c>
      <c r="C4" s="4">
        <v>3</v>
      </c>
      <c r="D4" s="4">
        <v>4</v>
      </c>
      <c r="E4" s="4">
        <v>5</v>
      </c>
      <c r="F4" s="260">
        <v>6</v>
      </c>
      <c r="G4" s="4">
        <v>7</v>
      </c>
      <c r="H4" s="4">
        <v>8</v>
      </c>
      <c r="J4" s="73"/>
      <c r="K4" s="74"/>
      <c r="L4" s="74"/>
      <c r="M4" s="74"/>
      <c r="N4" s="74"/>
    </row>
    <row r="5" spans="1:18" s="69" customFormat="1" ht="32.25" customHeight="1">
      <c r="A5" s="306" t="s">
        <v>69</v>
      </c>
      <c r="B5" s="307"/>
      <c r="C5" s="78"/>
      <c r="D5" s="129">
        <f>SUM(D6,D71,D76,D88,D91,D97,D120,D131,D136,D170,D176,D181,D201,D205,D114,D165,)</f>
        <v>208244.3</v>
      </c>
      <c r="E5" s="129">
        <f>SUM(E6,E71,E76,E91,E97,E120,E131,E136,E170,E176,E181,E201,E205,E114,E165,)</f>
        <v>210468.2</v>
      </c>
      <c r="F5" s="261">
        <f>SUM(F6,F71,F76,F86,F91,F97,F120,F131,F136,F170,F176,F181,F201,F205,F114,F165,)</f>
        <v>259776.49999999997</v>
      </c>
      <c r="G5" s="36">
        <f t="shared" ref="G5:G9" si="0">F5-E5</f>
        <v>49308.299999999959</v>
      </c>
      <c r="H5" s="36">
        <f t="shared" ref="H5:H9" si="1">G5/F5*100</f>
        <v>18.981047169393676</v>
      </c>
      <c r="I5" s="75">
        <v>259776.5</v>
      </c>
      <c r="J5" s="74">
        <f>I5-F5</f>
        <v>0</v>
      </c>
      <c r="K5" s="74"/>
      <c r="L5" s="74"/>
      <c r="M5" s="74"/>
      <c r="N5" s="74"/>
    </row>
    <row r="6" spans="1:18" s="69" customFormat="1" ht="41.25" customHeight="1">
      <c r="A6" s="7" t="s">
        <v>70</v>
      </c>
      <c r="B6" s="168" t="s">
        <v>100</v>
      </c>
      <c r="C6" s="169"/>
      <c r="D6" s="129">
        <f>SUM(D8,D50,D64)</f>
        <v>168050.69999999998</v>
      </c>
      <c r="E6" s="129">
        <f>SUM(E8,E50,E64)</f>
        <v>176425.7</v>
      </c>
      <c r="F6" s="261">
        <f>SUM(F8,F50,F64)</f>
        <v>206849.2</v>
      </c>
      <c r="G6" s="36">
        <f t="shared" si="0"/>
        <v>30423.5</v>
      </c>
      <c r="H6" s="36">
        <f t="shared" si="1"/>
        <v>14.708057850840127</v>
      </c>
      <c r="I6" s="75"/>
      <c r="J6" s="74"/>
      <c r="K6" s="74"/>
      <c r="L6" s="74"/>
      <c r="M6" s="74"/>
      <c r="N6" s="74"/>
    </row>
    <row r="7" spans="1:18" s="69" customFormat="1" ht="24" customHeight="1">
      <c r="A7" s="4"/>
      <c r="B7" s="77" t="s">
        <v>71</v>
      </c>
      <c r="C7" s="78"/>
      <c r="D7" s="130"/>
      <c r="E7" s="130"/>
      <c r="F7" s="262"/>
      <c r="G7" s="36"/>
      <c r="H7" s="36"/>
      <c r="J7" s="73">
        <f>I7-F6</f>
        <v>-206849.2</v>
      </c>
      <c r="K7" s="114">
        <f>K9+K17+K24</f>
        <v>208244.29999999996</v>
      </c>
      <c r="L7" s="114">
        <f>L9+L17+L24</f>
        <v>210468.20000000004</v>
      </c>
      <c r="M7" s="114">
        <f>M9+M17+M24</f>
        <v>259776.5</v>
      </c>
      <c r="N7" s="114"/>
    </row>
    <row r="8" spans="1:18" s="69" customFormat="1" ht="43.5" customHeight="1">
      <c r="A8" s="79" t="s">
        <v>72</v>
      </c>
      <c r="B8" s="12" t="s">
        <v>75</v>
      </c>
      <c r="C8" s="80">
        <v>1010</v>
      </c>
      <c r="D8" s="131">
        <f>SUM(D9,D20,D21,D23,D22)</f>
        <v>155553.4</v>
      </c>
      <c r="E8" s="131">
        <f>SUM(E9,E20,E21,E22,E23)</f>
        <v>163271.70000000001</v>
      </c>
      <c r="F8" s="263">
        <f>SUM(F9,F20,F21,F23,F22)</f>
        <v>191843.1</v>
      </c>
      <c r="G8" s="81">
        <f t="shared" si="0"/>
        <v>28571.399999999994</v>
      </c>
      <c r="H8" s="81">
        <f t="shared" si="1"/>
        <v>14.893107961662416</v>
      </c>
      <c r="I8" s="75"/>
      <c r="J8" s="73"/>
      <c r="K8" s="114"/>
      <c r="L8" s="115"/>
      <c r="M8" s="114"/>
      <c r="N8" s="115"/>
      <c r="P8" s="76"/>
    </row>
    <row r="9" spans="1:18" s="69" customFormat="1" ht="22.5" customHeight="1">
      <c r="A9" s="82" t="s">
        <v>156</v>
      </c>
      <c r="B9" s="77" t="s">
        <v>88</v>
      </c>
      <c r="C9" s="89">
        <v>1011</v>
      </c>
      <c r="D9" s="132">
        <f>SUM(D10:D19)</f>
        <v>26896.1</v>
      </c>
      <c r="E9" s="132">
        <f>SUM(E10:E19)</f>
        <v>35277</v>
      </c>
      <c r="F9" s="264">
        <f>SUM(F10:F19)</f>
        <v>51730.400000000009</v>
      </c>
      <c r="G9" s="90">
        <f t="shared" si="0"/>
        <v>16453.400000000009</v>
      </c>
      <c r="H9" s="90">
        <f t="shared" si="1"/>
        <v>31.806056013485311</v>
      </c>
      <c r="I9" s="75">
        <f>F10+F11+F12+F13+F14+F15+F17+F18+F19+F20+F21+F22+F23</f>
        <v>191843.1</v>
      </c>
      <c r="J9" s="73">
        <v>1010</v>
      </c>
      <c r="K9" s="114">
        <f>SUM(D8,D73,D78,D88,D93,D99,D116,D122,D138,D167,D172,D178,D183,D207)</f>
        <v>193679.89999999997</v>
      </c>
      <c r="L9" s="114">
        <f>SUM(E8,E73,E78,E93,E99,E116,E122,E138,E167,E172,E178,E183,E207)</f>
        <v>195258.10000000003</v>
      </c>
      <c r="M9" s="114">
        <f>SUM(F8,F73,F78,F88,F93,F99,F116,F122,F138,F167,F172,F178,F183,F207)</f>
        <v>241854.5</v>
      </c>
      <c r="N9" s="114">
        <v>241854.5</v>
      </c>
      <c r="O9" s="75">
        <f>N9-M9</f>
        <v>0</v>
      </c>
      <c r="Q9" s="74"/>
    </row>
    <row r="10" spans="1:18" s="69" customFormat="1" ht="37.5">
      <c r="A10" s="83"/>
      <c r="B10" s="16" t="s">
        <v>181</v>
      </c>
      <c r="C10" s="4"/>
      <c r="D10" s="140">
        <v>189.5</v>
      </c>
      <c r="E10" s="140">
        <v>230</v>
      </c>
      <c r="F10" s="262">
        <v>9.4</v>
      </c>
      <c r="G10" s="11">
        <f t="shared" ref="G10" si="2">F10-E10</f>
        <v>-220.6</v>
      </c>
      <c r="H10" s="107">
        <f>G10/F10*100</f>
        <v>-2346.8085106382978</v>
      </c>
      <c r="I10" s="76">
        <f>F10+F11+F12+F13+F14+F15+F17+F52</f>
        <v>911.30000000000007</v>
      </c>
      <c r="J10" s="73">
        <v>1011</v>
      </c>
      <c r="K10" s="115">
        <f>SUM(D9,D79,D94,D100,D117,D123,D139,D173,D179,D184,)</f>
        <v>49446</v>
      </c>
      <c r="L10" s="115">
        <f>SUM(E9,E79,E94,E100,E117,E123,E139,E168,E173,E179,E184,)</f>
        <v>47797.599999999999</v>
      </c>
      <c r="M10" s="115">
        <f>SUM(F9,F79,F94,F100,F117,F123,F139,F168,F173,F179,F184,)</f>
        <v>81801.400000000009</v>
      </c>
      <c r="N10" s="115">
        <f>M12+M20+M27</f>
        <v>26787.5</v>
      </c>
      <c r="O10" s="75"/>
    </row>
    <row r="11" spans="1:18" s="69" customFormat="1" ht="52.5" customHeight="1">
      <c r="A11" s="83"/>
      <c r="B11" s="8" t="s">
        <v>229</v>
      </c>
      <c r="C11" s="4"/>
      <c r="D11" s="140">
        <v>269.39999999999998</v>
      </c>
      <c r="E11" s="140">
        <v>650</v>
      </c>
      <c r="F11" s="262">
        <v>170.2</v>
      </c>
      <c r="G11" s="11">
        <f t="shared" ref="G11:G74" si="3">F11-E11</f>
        <v>-479.8</v>
      </c>
      <c r="H11" s="11">
        <f t="shared" ref="H11:H74" si="4">G11/F11*100</f>
        <v>-281.90364277320799</v>
      </c>
      <c r="I11" s="76">
        <f>F10+F11+F12+F13+F14+F15+F17+F18+F19+F20+F21+F22+F24+F25+F26+F27+F28+F29+F30+F32+F33+F34+F35+F37+F38+F40+F41+F43+F44+F45+F46+F47+F48+F52+F55+F56+F58+F59+F60+F61+F62+F63+F65+F66+F69+F70</f>
        <v>206849.19999999995</v>
      </c>
      <c r="J11" s="73">
        <v>1012</v>
      </c>
      <c r="K11" s="115">
        <f>SUM(D20,D74,D84,D89)</f>
        <v>103951.9</v>
      </c>
      <c r="L11" s="115">
        <f>SUM(E20,E74,E84,)</f>
        <v>103432.70000000001</v>
      </c>
      <c r="M11" s="115">
        <f>SUM(F20,F74,F84,F89,)</f>
        <v>112972.3</v>
      </c>
      <c r="N11" s="115"/>
    </row>
    <row r="12" spans="1:18" s="69" customFormat="1" ht="21" customHeight="1">
      <c r="A12" s="83"/>
      <c r="B12" s="19" t="s">
        <v>135</v>
      </c>
      <c r="C12" s="4"/>
      <c r="D12" s="140">
        <v>94.3</v>
      </c>
      <c r="E12" s="140">
        <v>200</v>
      </c>
      <c r="F12" s="262">
        <v>148</v>
      </c>
      <c r="G12" s="11">
        <v>1</v>
      </c>
      <c r="H12" s="11">
        <f t="shared" si="4"/>
        <v>0.67567567567567566</v>
      </c>
      <c r="I12" s="76"/>
      <c r="J12" s="73">
        <v>1013</v>
      </c>
      <c r="K12" s="115">
        <f>SUM(D21,D75,D85,D90)</f>
        <v>22391.200000000001</v>
      </c>
      <c r="L12" s="115">
        <f>SUM(E21,E75,E85,)</f>
        <v>22500.1</v>
      </c>
      <c r="M12" s="115">
        <f>SUM(F21,F75,F85,F90)</f>
        <v>24501.3</v>
      </c>
      <c r="N12" s="115"/>
      <c r="Q12" s="75"/>
    </row>
    <row r="13" spans="1:18" s="69" customFormat="1" ht="24.75" customHeight="1">
      <c r="A13" s="83"/>
      <c r="B13" s="19" t="s">
        <v>111</v>
      </c>
      <c r="C13" s="4"/>
      <c r="D13" s="140">
        <v>5.4</v>
      </c>
      <c r="E13" s="140">
        <v>7</v>
      </c>
      <c r="F13" s="262">
        <v>16</v>
      </c>
      <c r="G13" s="11">
        <f t="shared" si="3"/>
        <v>9</v>
      </c>
      <c r="H13" s="11">
        <f t="shared" si="4"/>
        <v>56.25</v>
      </c>
      <c r="I13" s="76"/>
      <c r="J13" s="73">
        <v>1014</v>
      </c>
      <c r="K13" s="115">
        <f>SUM(D22,D208)</f>
        <v>15309.300000000001</v>
      </c>
      <c r="L13" s="115">
        <f>SUM(E22,E208)</f>
        <v>19125</v>
      </c>
      <c r="M13" s="115">
        <f>SUM(F22,F208)</f>
        <v>19568.400000000001</v>
      </c>
      <c r="N13" s="115"/>
    </row>
    <row r="14" spans="1:18" s="69" customFormat="1" ht="36.75" customHeight="1">
      <c r="A14" s="83"/>
      <c r="B14" s="19" t="s">
        <v>245</v>
      </c>
      <c r="C14" s="4"/>
      <c r="D14" s="140">
        <v>186.9</v>
      </c>
      <c r="E14" s="140">
        <v>240</v>
      </c>
      <c r="F14" s="262">
        <v>465.9</v>
      </c>
      <c r="G14" s="11">
        <f t="shared" si="3"/>
        <v>225.89999999999998</v>
      </c>
      <c r="H14" s="11">
        <f t="shared" si="4"/>
        <v>48.486799742433995</v>
      </c>
      <c r="I14" s="76">
        <f>F10+F11+F12+F13+F14+F15+F17</f>
        <v>826.30000000000007</v>
      </c>
      <c r="J14" s="84">
        <v>1015</v>
      </c>
      <c r="K14" s="115">
        <f>SUM(D23,D151,D187,)</f>
        <v>1834.5000000000002</v>
      </c>
      <c r="L14" s="115">
        <f>SUM(E23,E151,E187,)</f>
        <v>2402.7000000000003</v>
      </c>
      <c r="M14" s="115">
        <f>SUM(F23,F151,F187,)</f>
        <v>3011.1</v>
      </c>
      <c r="N14" s="125"/>
      <c r="O14" s="86"/>
      <c r="R14" s="86"/>
    </row>
    <row r="15" spans="1:18" s="69" customFormat="1" ht="22.5" customHeight="1">
      <c r="A15" s="83"/>
      <c r="B15" s="8" t="s">
        <v>137</v>
      </c>
      <c r="C15" s="4"/>
      <c r="D15" s="140">
        <v>35.299999999999997</v>
      </c>
      <c r="E15" s="140">
        <v>50</v>
      </c>
      <c r="F15" s="262">
        <v>2.2000000000000002</v>
      </c>
      <c r="G15" s="11">
        <f t="shared" si="3"/>
        <v>-47.8</v>
      </c>
      <c r="H15" s="107">
        <f t="shared" si="4"/>
        <v>-2172.7272727272725</v>
      </c>
      <c r="I15" s="84"/>
      <c r="J15" s="73"/>
      <c r="K15" s="87"/>
      <c r="L15" s="113"/>
      <c r="M15" s="113"/>
      <c r="N15" s="113"/>
    </row>
    <row r="16" spans="1:18" s="69" customFormat="1" ht="22.5" customHeight="1">
      <c r="A16" s="83"/>
      <c r="B16" s="170" t="s">
        <v>332</v>
      </c>
      <c r="C16" s="5"/>
      <c r="D16" s="140">
        <v>18.399999999999999</v>
      </c>
      <c r="E16" s="133"/>
      <c r="F16" s="262"/>
      <c r="G16" s="11"/>
      <c r="H16" s="107"/>
      <c r="I16" s="84"/>
      <c r="J16" s="73"/>
      <c r="K16" s="87"/>
      <c r="L16" s="113"/>
      <c r="M16" s="113"/>
      <c r="N16" s="113"/>
    </row>
    <row r="17" spans="1:17" s="69" customFormat="1" ht="22.5" customHeight="1">
      <c r="A17" s="83"/>
      <c r="B17" s="8" t="s">
        <v>139</v>
      </c>
      <c r="C17" s="4"/>
      <c r="D17" s="140"/>
      <c r="E17" s="133"/>
      <c r="F17" s="262">
        <v>14.6</v>
      </c>
      <c r="G17" s="11">
        <f t="shared" si="3"/>
        <v>14.6</v>
      </c>
      <c r="H17" s="107">
        <f t="shared" si="4"/>
        <v>100</v>
      </c>
      <c r="I17" s="84"/>
      <c r="J17" s="73">
        <v>1020</v>
      </c>
      <c r="K17" s="114">
        <f>SUM(D50,D108,D128,D133,D159,D194,)</f>
        <v>8765.4</v>
      </c>
      <c r="L17" s="114">
        <f>SUM(E50,E108,E128,E133,E159,E194,)</f>
        <v>9055.0999999999985</v>
      </c>
      <c r="M17" s="114">
        <f>SUM(F50,F108,F128,F133,F159,F194,)</f>
        <v>10480.4</v>
      </c>
      <c r="N17" s="113"/>
    </row>
    <row r="18" spans="1:17" s="69" customFormat="1" ht="24" customHeight="1">
      <c r="A18" s="83"/>
      <c r="B18" s="8" t="s">
        <v>109</v>
      </c>
      <c r="C18" s="4"/>
      <c r="D18" s="140">
        <v>25211.1</v>
      </c>
      <c r="E18" s="134">
        <v>32000</v>
      </c>
      <c r="F18" s="265">
        <v>49068.3</v>
      </c>
      <c r="G18" s="11">
        <f t="shared" si="3"/>
        <v>17068.300000000003</v>
      </c>
      <c r="H18" s="11">
        <f t="shared" si="4"/>
        <v>34.784779582744875</v>
      </c>
      <c r="I18" s="75"/>
      <c r="J18" s="73">
        <v>1021</v>
      </c>
      <c r="K18" s="115">
        <f>SUM(D51,D134,)</f>
        <v>40.4</v>
      </c>
      <c r="L18" s="115">
        <f>SUM(E51,E134,)</f>
        <v>70</v>
      </c>
      <c r="M18" s="115">
        <f>SUM(F51,F134,)</f>
        <v>85</v>
      </c>
      <c r="N18" s="113"/>
      <c r="O18" s="74"/>
      <c r="Q18" s="74"/>
    </row>
    <row r="19" spans="1:17" s="69" customFormat="1" ht="25.5" customHeight="1">
      <c r="A19" s="83"/>
      <c r="B19" s="8" t="s">
        <v>127</v>
      </c>
      <c r="C19" s="4"/>
      <c r="D19" s="140">
        <v>885.8</v>
      </c>
      <c r="E19" s="167">
        <v>1900</v>
      </c>
      <c r="F19" s="265">
        <v>1835.8</v>
      </c>
      <c r="G19" s="11">
        <f t="shared" si="3"/>
        <v>-64.200000000000045</v>
      </c>
      <c r="H19" s="11">
        <f t="shared" si="4"/>
        <v>-3.4971129752696397</v>
      </c>
      <c r="I19" s="88">
        <f>I20+I21</f>
        <v>151784.1</v>
      </c>
      <c r="J19" s="73">
        <v>1022</v>
      </c>
      <c r="K19" s="115">
        <f>SUM(D55,)</f>
        <v>6712.4</v>
      </c>
      <c r="L19" s="115">
        <f t="shared" ref="L19:M19" si="5">SUM(E55,)</f>
        <v>7100</v>
      </c>
      <c r="M19" s="115">
        <f t="shared" si="5"/>
        <v>8197.5</v>
      </c>
      <c r="N19" s="74"/>
    </row>
    <row r="20" spans="1:17" s="69" customFormat="1" ht="24" customHeight="1">
      <c r="A20" s="82" t="s">
        <v>157</v>
      </c>
      <c r="B20" s="77" t="s">
        <v>1</v>
      </c>
      <c r="C20" s="89">
        <v>1012</v>
      </c>
      <c r="D20" s="146">
        <v>103773.4</v>
      </c>
      <c r="E20" s="146">
        <v>102500</v>
      </c>
      <c r="F20" s="266">
        <v>112188.3</v>
      </c>
      <c r="G20" s="90">
        <f t="shared" si="3"/>
        <v>9688.3000000000029</v>
      </c>
      <c r="H20" s="90">
        <f t="shared" si="4"/>
        <v>8.6357490041296678</v>
      </c>
      <c r="I20" s="88">
        <f>F20+F55+F65+F70+F74+F84+F89</f>
        <v>124996.6</v>
      </c>
      <c r="J20" s="73">
        <v>1023</v>
      </c>
      <c r="K20" s="115">
        <f>SUM(D56)</f>
        <v>1443</v>
      </c>
      <c r="L20" s="115">
        <f t="shared" ref="L20:M20" si="6">SUM(E56)</f>
        <v>1420</v>
      </c>
      <c r="M20" s="115">
        <f t="shared" si="6"/>
        <v>1571.5</v>
      </c>
      <c r="N20" s="74"/>
    </row>
    <row r="21" spans="1:17" s="69" customFormat="1" ht="21.75" customHeight="1">
      <c r="A21" s="82" t="s">
        <v>158</v>
      </c>
      <c r="B21" s="77" t="s">
        <v>2</v>
      </c>
      <c r="C21" s="89">
        <v>1013</v>
      </c>
      <c r="D21" s="146">
        <v>22351.9</v>
      </c>
      <c r="E21" s="146">
        <v>22295</v>
      </c>
      <c r="F21" s="266">
        <v>24328.799999999999</v>
      </c>
      <c r="G21" s="90">
        <f t="shared" si="3"/>
        <v>2033.7999999999993</v>
      </c>
      <c r="H21" s="90">
        <f t="shared" si="4"/>
        <v>8.3596396040906225</v>
      </c>
      <c r="I21" s="91">
        <f>F21+F56+F66+F75+F85+F90</f>
        <v>26787.5</v>
      </c>
      <c r="J21" s="73">
        <v>1024</v>
      </c>
      <c r="K21" s="115"/>
      <c r="L21" s="115"/>
      <c r="M21" s="115"/>
      <c r="N21" s="113"/>
    </row>
    <row r="22" spans="1:17" s="69" customFormat="1" ht="25.5" customHeight="1">
      <c r="A22" s="82" t="s">
        <v>210</v>
      </c>
      <c r="B22" s="77" t="s">
        <v>3</v>
      </c>
      <c r="C22" s="89">
        <v>1014</v>
      </c>
      <c r="D22" s="146">
        <v>952.1</v>
      </c>
      <c r="E22" s="146">
        <v>1125</v>
      </c>
      <c r="F22" s="264">
        <v>1267.7</v>
      </c>
      <c r="G22" s="90">
        <f t="shared" si="3"/>
        <v>142.70000000000005</v>
      </c>
      <c r="H22" s="90">
        <f t="shared" si="4"/>
        <v>11.256606452630752</v>
      </c>
      <c r="I22" s="91">
        <f>I21/I20</f>
        <v>0.214305829118552</v>
      </c>
      <c r="J22" s="73">
        <v>1025</v>
      </c>
      <c r="K22" s="115">
        <f>SUM(D57,D109,D129,D160,D195)</f>
        <v>569.6</v>
      </c>
      <c r="L22" s="115">
        <f>SUM(E57,E109,E129,E160,E195)</f>
        <v>465.1</v>
      </c>
      <c r="M22" s="115">
        <f>SUM(F57,F109,F129,F160,F195)</f>
        <v>626.4</v>
      </c>
      <c r="N22" s="113"/>
    </row>
    <row r="23" spans="1:17" s="69" customFormat="1" ht="22.5" customHeight="1">
      <c r="A23" s="82" t="s">
        <v>210</v>
      </c>
      <c r="B23" s="77" t="s">
        <v>78</v>
      </c>
      <c r="C23" s="89">
        <v>1015</v>
      </c>
      <c r="D23" s="131">
        <f>SUM(D24:D49)</f>
        <v>1579.9</v>
      </c>
      <c r="E23" s="131">
        <f>SUM(E24:E46)</f>
        <v>2074.7000000000003</v>
      </c>
      <c r="F23" s="263">
        <f>SUM(F24:F49)</f>
        <v>2327.9</v>
      </c>
      <c r="G23" s="81">
        <f t="shared" si="3"/>
        <v>253.19999999999982</v>
      </c>
      <c r="H23" s="90">
        <f t="shared" si="4"/>
        <v>10.876755874393222</v>
      </c>
      <c r="I23" s="75">
        <f>F24+F25+F26+F27+F28+F29+F30+F32+F33+F34+F35+F37+F38+F40+F41+F43+F44+F45+F46+F47+F48</f>
        <v>2327.9</v>
      </c>
      <c r="J23" s="73"/>
      <c r="K23" s="115"/>
      <c r="L23" s="115"/>
      <c r="M23" s="115"/>
      <c r="N23" s="113"/>
    </row>
    <row r="24" spans="1:17" ht="36.75" customHeight="1">
      <c r="A24" s="83"/>
      <c r="B24" s="16" t="s">
        <v>182</v>
      </c>
      <c r="C24" s="4"/>
      <c r="D24" s="140">
        <v>45.2</v>
      </c>
      <c r="E24" s="140">
        <v>75</v>
      </c>
      <c r="F24" s="265">
        <v>66.099999999999994</v>
      </c>
      <c r="G24" s="11">
        <f t="shared" si="3"/>
        <v>-8.9000000000000057</v>
      </c>
      <c r="H24" s="11">
        <f t="shared" si="4"/>
        <v>-13.464447806354018</v>
      </c>
      <c r="I24" s="85">
        <f>F24+F25+F26+F27+F28+F29+F30+F32+F33+F34+F35+F37+F38+F40+F41+F43+F44+F45+F46+F47+F48+F58+F59+F60+F61+F62+F63</f>
        <v>2815.9000000000005</v>
      </c>
      <c r="J24" s="73">
        <v>1030</v>
      </c>
      <c r="K24" s="114">
        <f>SUM(D64,D162,D198,D203,D209)</f>
        <v>5799</v>
      </c>
      <c r="L24" s="114">
        <f>SUM(E64,E162,E198,E203,E209)</f>
        <v>6155</v>
      </c>
      <c r="M24" s="114">
        <f>SUM(F64,F162,F198,F203,F209)</f>
        <v>7441.6</v>
      </c>
    </row>
    <row r="25" spans="1:17" ht="36.75" customHeight="1">
      <c r="A25" s="83"/>
      <c r="B25" s="19" t="s">
        <v>183</v>
      </c>
      <c r="C25" s="4"/>
      <c r="D25" s="140">
        <v>7.8</v>
      </c>
      <c r="E25" s="140">
        <v>9</v>
      </c>
      <c r="F25" s="265">
        <f>12.4</f>
        <v>12.4</v>
      </c>
      <c r="G25" s="11">
        <f t="shared" si="3"/>
        <v>3.4000000000000004</v>
      </c>
      <c r="H25" s="11">
        <f t="shared" si="4"/>
        <v>27.41935483870968</v>
      </c>
      <c r="J25" s="73">
        <v>1031</v>
      </c>
      <c r="K25" s="115">
        <f>SUM(D199)</f>
        <v>0</v>
      </c>
      <c r="L25" s="115">
        <f t="shared" ref="L25:M25" si="7">SUM(E199)</f>
        <v>0</v>
      </c>
      <c r="M25" s="115">
        <f t="shared" si="7"/>
        <v>73.099999999999994</v>
      </c>
    </row>
    <row r="26" spans="1:17" ht="22.5" customHeight="1">
      <c r="A26" s="83"/>
      <c r="B26" s="19" t="s">
        <v>115</v>
      </c>
      <c r="C26" s="7"/>
      <c r="D26" s="140">
        <v>31.3</v>
      </c>
      <c r="E26" s="140">
        <v>33</v>
      </c>
      <c r="F26" s="265">
        <v>33.5</v>
      </c>
      <c r="G26" s="11">
        <f t="shared" si="3"/>
        <v>0.5</v>
      </c>
      <c r="H26" s="11">
        <f t="shared" si="4"/>
        <v>1.4925373134328357</v>
      </c>
      <c r="J26" s="73">
        <v>1032</v>
      </c>
      <c r="K26" s="115">
        <f>SUM(D65,)</f>
        <v>3000.3</v>
      </c>
      <c r="L26" s="115">
        <f t="shared" ref="L26:M26" si="8">SUM(E65,)</f>
        <v>3200</v>
      </c>
      <c r="M26" s="115">
        <f t="shared" si="8"/>
        <v>3492</v>
      </c>
    </row>
    <row r="27" spans="1:17" ht="22.5" customHeight="1">
      <c r="A27" s="83"/>
      <c r="B27" s="19" t="s">
        <v>184</v>
      </c>
      <c r="C27" s="7"/>
      <c r="D27" s="140">
        <v>10.5</v>
      </c>
      <c r="E27" s="140">
        <v>10.5</v>
      </c>
      <c r="F27" s="265">
        <v>10.8</v>
      </c>
      <c r="G27" s="11">
        <f t="shared" si="3"/>
        <v>0.30000000000000071</v>
      </c>
      <c r="H27" s="11">
        <f t="shared" si="4"/>
        <v>2.7777777777777843</v>
      </c>
      <c r="I27" s="92"/>
      <c r="J27" s="73">
        <v>1033</v>
      </c>
      <c r="K27" s="115">
        <f>SUM(D66)</f>
        <v>641.4</v>
      </c>
      <c r="L27" s="115">
        <f t="shared" ref="L27:M27" si="9">SUM(E66)</f>
        <v>623</v>
      </c>
      <c r="M27" s="115">
        <f t="shared" si="9"/>
        <v>714.7</v>
      </c>
    </row>
    <row r="28" spans="1:17" ht="21.75" customHeight="1">
      <c r="A28" s="83"/>
      <c r="B28" s="19" t="s">
        <v>242</v>
      </c>
      <c r="C28" s="7"/>
      <c r="D28" s="140">
        <v>85.9</v>
      </c>
      <c r="E28" s="140">
        <v>500</v>
      </c>
      <c r="F28" s="265">
        <f>363.5</f>
        <v>363.5</v>
      </c>
      <c r="G28" s="11">
        <f t="shared" si="3"/>
        <v>-136.5</v>
      </c>
      <c r="H28" s="11">
        <f t="shared" si="4"/>
        <v>-37.551581843191194</v>
      </c>
      <c r="I28" s="85"/>
      <c r="J28" s="73">
        <v>1034</v>
      </c>
      <c r="K28" s="115">
        <f>SUM(D210)</f>
        <v>1792.7</v>
      </c>
      <c r="L28" s="115">
        <f t="shared" ref="L28:M28" si="10">SUM(E210)</f>
        <v>1920</v>
      </c>
      <c r="M28" s="115">
        <f t="shared" si="10"/>
        <v>2589.4</v>
      </c>
    </row>
    <row r="29" spans="1:17" ht="37.5" customHeight="1">
      <c r="A29" s="83"/>
      <c r="B29" s="19" t="s">
        <v>185</v>
      </c>
      <c r="C29" s="7"/>
      <c r="D29" s="140">
        <v>40.700000000000003</v>
      </c>
      <c r="E29" s="140">
        <v>52</v>
      </c>
      <c r="F29" s="265">
        <v>57.6</v>
      </c>
      <c r="G29" s="11">
        <f t="shared" si="3"/>
        <v>5.6000000000000014</v>
      </c>
      <c r="H29" s="11">
        <f t="shared" si="4"/>
        <v>9.7222222222222232</v>
      </c>
      <c r="I29" s="85"/>
      <c r="J29" s="73">
        <v>1035</v>
      </c>
      <c r="K29" s="115">
        <f>SUM(D67,D163,D204)</f>
        <v>364.6</v>
      </c>
      <c r="L29" s="115">
        <f>SUM(E67,E163,E204)</f>
        <v>412</v>
      </c>
      <c r="M29" s="115">
        <f>SUM(F67,F163,F204)</f>
        <v>572.4</v>
      </c>
    </row>
    <row r="30" spans="1:17" ht="21" customHeight="1">
      <c r="A30" s="83"/>
      <c r="B30" s="19" t="s">
        <v>117</v>
      </c>
      <c r="C30" s="7"/>
      <c r="D30" s="208">
        <v>30.5</v>
      </c>
      <c r="E30" s="140">
        <v>31.5</v>
      </c>
      <c r="F30" s="267">
        <v>34.799999999999997</v>
      </c>
      <c r="G30" s="11">
        <f t="shared" si="3"/>
        <v>3.2999999999999972</v>
      </c>
      <c r="H30" s="11">
        <f t="shared" si="4"/>
        <v>9.4827586206896477</v>
      </c>
      <c r="I30" s="85"/>
      <c r="J30" s="73"/>
      <c r="K30" s="113"/>
    </row>
    <row r="31" spans="1:17" ht="21" customHeight="1">
      <c r="A31" s="83"/>
      <c r="B31" s="8" t="s">
        <v>118</v>
      </c>
      <c r="C31" s="7"/>
      <c r="D31" s="208"/>
      <c r="E31" s="140">
        <v>3</v>
      </c>
      <c r="F31" s="267"/>
      <c r="G31" s="11">
        <f t="shared" si="3"/>
        <v>-3</v>
      </c>
      <c r="H31" s="11"/>
      <c r="I31" s="85"/>
      <c r="J31" s="73">
        <v>9000</v>
      </c>
      <c r="K31" s="115">
        <f>K10+K18++K25</f>
        <v>49486.400000000001</v>
      </c>
      <c r="L31" s="115">
        <f>L10+L18++L25</f>
        <v>47867.6</v>
      </c>
      <c r="M31" s="115">
        <f>M10+M18++M25</f>
        <v>81959.500000000015</v>
      </c>
    </row>
    <row r="32" spans="1:17" ht="21" customHeight="1">
      <c r="A32" s="83"/>
      <c r="B32" s="19" t="s">
        <v>119</v>
      </c>
      <c r="C32" s="4"/>
      <c r="D32" s="208">
        <v>24.4</v>
      </c>
      <c r="E32" s="140">
        <v>25.5</v>
      </c>
      <c r="F32" s="267">
        <v>50.7</v>
      </c>
      <c r="G32" s="11">
        <f t="shared" si="3"/>
        <v>25.200000000000003</v>
      </c>
      <c r="H32" s="11">
        <f t="shared" si="4"/>
        <v>49.704142011834321</v>
      </c>
      <c r="J32" s="69">
        <v>9010</v>
      </c>
      <c r="K32" s="115">
        <f t="shared" ref="K32:M34" si="11">K11+K19+K26</f>
        <v>113664.59999999999</v>
      </c>
      <c r="L32" s="18">
        <f t="shared" si="11"/>
        <v>113732.70000000001</v>
      </c>
      <c r="M32" s="18">
        <f t="shared" si="11"/>
        <v>124661.8</v>
      </c>
    </row>
    <row r="33" spans="1:14" ht="23.25" customHeight="1">
      <c r="A33" s="83"/>
      <c r="B33" s="93" t="s">
        <v>169</v>
      </c>
      <c r="C33" s="4"/>
      <c r="D33" s="140">
        <v>1.2</v>
      </c>
      <c r="E33" s="140">
        <v>1.2</v>
      </c>
      <c r="F33" s="265">
        <v>53.9</v>
      </c>
      <c r="G33" s="11">
        <f t="shared" si="3"/>
        <v>52.699999999999996</v>
      </c>
      <c r="H33" s="11"/>
      <c r="J33" s="73">
        <v>9020</v>
      </c>
      <c r="K33" s="115">
        <f t="shared" si="11"/>
        <v>24475.600000000002</v>
      </c>
      <c r="L33" s="115">
        <f t="shared" si="11"/>
        <v>24543.1</v>
      </c>
      <c r="M33" s="115">
        <f t="shared" si="11"/>
        <v>26787.5</v>
      </c>
      <c r="N33" s="74"/>
    </row>
    <row r="34" spans="1:14" ht="22.5" customHeight="1">
      <c r="A34" s="83"/>
      <c r="B34" s="19" t="s">
        <v>120</v>
      </c>
      <c r="C34" s="4"/>
      <c r="D34" s="140">
        <v>32.799999999999997</v>
      </c>
      <c r="E34" s="140">
        <v>30</v>
      </c>
      <c r="F34" s="265">
        <v>19.600000000000001</v>
      </c>
      <c r="G34" s="11">
        <f t="shared" si="3"/>
        <v>-10.399999999999999</v>
      </c>
      <c r="H34" s="11">
        <f t="shared" si="4"/>
        <v>-53.061224489795912</v>
      </c>
      <c r="J34" s="73">
        <v>9030</v>
      </c>
      <c r="K34" s="115">
        <f t="shared" si="11"/>
        <v>17102</v>
      </c>
      <c r="L34" s="115">
        <f t="shared" si="11"/>
        <v>21045</v>
      </c>
      <c r="M34" s="115">
        <f t="shared" si="11"/>
        <v>22157.800000000003</v>
      </c>
    </row>
    <row r="35" spans="1:14" ht="22.5" customHeight="1">
      <c r="A35" s="83"/>
      <c r="B35" s="19" t="s">
        <v>271</v>
      </c>
      <c r="C35" s="4"/>
      <c r="D35" s="140">
        <v>12.3</v>
      </c>
      <c r="E35" s="140">
        <v>15</v>
      </c>
      <c r="F35" s="265">
        <v>32.1</v>
      </c>
      <c r="G35" s="11">
        <f t="shared" si="3"/>
        <v>17.100000000000001</v>
      </c>
      <c r="H35" s="11">
        <f t="shared" si="4"/>
        <v>53.271028037383182</v>
      </c>
      <c r="J35" s="73">
        <v>9040</v>
      </c>
      <c r="K35" s="115">
        <f>K14+K22+K29</f>
        <v>2768.7000000000003</v>
      </c>
      <c r="L35" s="115">
        <f t="shared" ref="L35:M35" si="12">L14+L22+L29</f>
        <v>3279.8</v>
      </c>
      <c r="M35" s="115">
        <f t="shared" si="12"/>
        <v>4209.8999999999996</v>
      </c>
    </row>
    <row r="36" spans="1:14" ht="56.25" customHeight="1">
      <c r="A36" s="83"/>
      <c r="B36" s="19" t="s">
        <v>203</v>
      </c>
      <c r="C36" s="4"/>
      <c r="D36" s="140">
        <v>4.5999999999999996</v>
      </c>
      <c r="E36" s="134">
        <v>12</v>
      </c>
      <c r="F36" s="262"/>
      <c r="G36" s="11">
        <f t="shared" si="3"/>
        <v>-12</v>
      </c>
      <c r="H36" s="11"/>
      <c r="J36" s="73">
        <v>9050</v>
      </c>
      <c r="K36" s="114">
        <f>SUM(K31:K35)</f>
        <v>207497.30000000002</v>
      </c>
      <c r="L36" s="114">
        <f>SUM(L31:L35)</f>
        <v>210468.2</v>
      </c>
      <c r="M36" s="114">
        <f>SUM(M31:M35)</f>
        <v>259776.50000000003</v>
      </c>
    </row>
    <row r="37" spans="1:14" ht="37.5" customHeight="1">
      <c r="A37" s="83"/>
      <c r="B37" s="101" t="s">
        <v>333</v>
      </c>
      <c r="C37" s="94"/>
      <c r="D37" s="140">
        <v>4.3</v>
      </c>
      <c r="E37" s="134">
        <v>12.1</v>
      </c>
      <c r="F37" s="265">
        <v>19</v>
      </c>
      <c r="G37" s="11">
        <f t="shared" si="3"/>
        <v>6.9</v>
      </c>
      <c r="H37" s="11"/>
      <c r="J37" s="73"/>
      <c r="K37" s="113"/>
    </row>
    <row r="38" spans="1:14" ht="134.25" customHeight="1">
      <c r="A38" s="83"/>
      <c r="B38" s="8" t="s">
        <v>244</v>
      </c>
      <c r="C38" s="4"/>
      <c r="D38" s="140">
        <v>139.19999999999999</v>
      </c>
      <c r="E38" s="140">
        <v>187.5</v>
      </c>
      <c r="F38" s="265">
        <f>27+5+7.1+8.4+257.6+27.4+133.4</f>
        <v>465.9</v>
      </c>
      <c r="G38" s="11">
        <f t="shared" si="3"/>
        <v>278.39999999999998</v>
      </c>
      <c r="H38" s="11">
        <f t="shared" si="4"/>
        <v>59.755312298776566</v>
      </c>
      <c r="J38" s="73"/>
      <c r="K38" s="113"/>
    </row>
    <row r="39" spans="1:14" ht="21.75" customHeight="1">
      <c r="A39" s="83"/>
      <c r="B39" s="170" t="s">
        <v>312</v>
      </c>
      <c r="C39" s="4"/>
      <c r="D39" s="130"/>
      <c r="E39" s="140">
        <v>0.2</v>
      </c>
      <c r="F39" s="265"/>
      <c r="G39" s="11">
        <f t="shared" si="3"/>
        <v>-0.2</v>
      </c>
      <c r="H39" s="11"/>
      <c r="J39" s="73"/>
      <c r="K39" s="113"/>
    </row>
    <row r="40" spans="1:14" ht="20.25" customHeight="1">
      <c r="A40" s="83"/>
      <c r="B40" s="19" t="s">
        <v>141</v>
      </c>
      <c r="C40" s="4"/>
      <c r="D40" s="140">
        <v>0.6</v>
      </c>
      <c r="E40" s="140">
        <v>0.9</v>
      </c>
      <c r="F40" s="265">
        <v>0.5</v>
      </c>
      <c r="G40" s="11">
        <f t="shared" si="3"/>
        <v>-0.4</v>
      </c>
      <c r="H40" s="11">
        <f t="shared" si="4"/>
        <v>-80</v>
      </c>
    </row>
    <row r="41" spans="1:14" ht="21" customHeight="1">
      <c r="A41" s="83"/>
      <c r="B41" s="19" t="s">
        <v>204</v>
      </c>
      <c r="C41" s="4"/>
      <c r="D41" s="140">
        <v>39.6</v>
      </c>
      <c r="E41" s="140">
        <v>38.4</v>
      </c>
      <c r="F41" s="265">
        <v>81</v>
      </c>
      <c r="G41" s="11">
        <f t="shared" si="3"/>
        <v>42.6</v>
      </c>
      <c r="H41" s="11">
        <f t="shared" si="4"/>
        <v>52.592592592592588</v>
      </c>
    </row>
    <row r="42" spans="1:14" ht="36.75" customHeight="1">
      <c r="A42" s="83"/>
      <c r="B42" s="19" t="s">
        <v>252</v>
      </c>
      <c r="C42" s="4"/>
      <c r="D42" s="140">
        <v>97.4</v>
      </c>
      <c r="E42" s="140">
        <v>254.5</v>
      </c>
      <c r="F42" s="265"/>
      <c r="G42" s="11">
        <f t="shared" si="3"/>
        <v>-254.5</v>
      </c>
      <c r="H42" s="11"/>
    </row>
    <row r="43" spans="1:14" ht="20.25" customHeight="1">
      <c r="A43" s="83"/>
      <c r="B43" s="19" t="s">
        <v>125</v>
      </c>
      <c r="C43" s="4"/>
      <c r="D43" s="140">
        <v>509.5</v>
      </c>
      <c r="E43" s="140">
        <v>387</v>
      </c>
      <c r="F43" s="265">
        <v>194</v>
      </c>
      <c r="G43" s="11">
        <f t="shared" si="3"/>
        <v>-193</v>
      </c>
      <c r="H43" s="11">
        <f t="shared" si="4"/>
        <v>-99.484536082474222</v>
      </c>
    </row>
    <row r="44" spans="1:14" ht="20.25" customHeight="1">
      <c r="A44" s="83"/>
      <c r="B44" s="19" t="s">
        <v>317</v>
      </c>
      <c r="C44" s="4"/>
      <c r="D44" s="140"/>
      <c r="E44" s="140"/>
      <c r="F44" s="265">
        <f>18.4+5.6+2.6+6.8</f>
        <v>33.4</v>
      </c>
      <c r="G44" s="11">
        <f t="shared" si="3"/>
        <v>33.4</v>
      </c>
      <c r="H44" s="11">
        <f t="shared" si="4"/>
        <v>100</v>
      </c>
    </row>
    <row r="45" spans="1:14" ht="24" customHeight="1">
      <c r="A45" s="83"/>
      <c r="B45" s="19" t="s">
        <v>155</v>
      </c>
      <c r="C45" s="4"/>
      <c r="D45" s="140">
        <v>373.1</v>
      </c>
      <c r="E45" s="140">
        <v>377</v>
      </c>
      <c r="F45" s="265">
        <v>432.9</v>
      </c>
      <c r="G45" s="11">
        <f t="shared" si="3"/>
        <v>55.899999999999977</v>
      </c>
      <c r="H45" s="11">
        <f t="shared" si="4"/>
        <v>12.912912912912908</v>
      </c>
    </row>
    <row r="46" spans="1:14" ht="21" customHeight="1">
      <c r="A46" s="83"/>
      <c r="B46" s="8" t="s">
        <v>209</v>
      </c>
      <c r="C46" s="4"/>
      <c r="D46" s="140">
        <v>8.8000000000000007</v>
      </c>
      <c r="E46" s="140">
        <v>19.399999999999999</v>
      </c>
      <c r="F46" s="265">
        <v>15.3</v>
      </c>
      <c r="G46" s="11">
        <f t="shared" si="3"/>
        <v>-4.0999999999999979</v>
      </c>
      <c r="H46" s="11">
        <f t="shared" si="4"/>
        <v>-26.797385620915016</v>
      </c>
    </row>
    <row r="47" spans="1:14" ht="40.5" customHeight="1">
      <c r="A47" s="83"/>
      <c r="B47" s="8" t="s">
        <v>243</v>
      </c>
      <c r="C47" s="4"/>
      <c r="D47" s="140"/>
      <c r="E47" s="130"/>
      <c r="F47" s="265">
        <v>49.1</v>
      </c>
      <c r="G47" s="11">
        <f t="shared" si="3"/>
        <v>49.1</v>
      </c>
      <c r="H47" s="11">
        <f t="shared" si="4"/>
        <v>100</v>
      </c>
    </row>
    <row r="48" spans="1:14" ht="98.25" customHeight="1">
      <c r="A48" s="83"/>
      <c r="B48" s="8" t="s">
        <v>318</v>
      </c>
      <c r="C48" s="4"/>
      <c r="D48" s="140"/>
      <c r="E48" s="130"/>
      <c r="F48" s="265">
        <v>301.8</v>
      </c>
      <c r="G48" s="11">
        <f t="shared" si="3"/>
        <v>301.8</v>
      </c>
      <c r="H48" s="11">
        <f t="shared" si="4"/>
        <v>100</v>
      </c>
    </row>
    <row r="49" spans="1:14" ht="37.5" customHeight="1">
      <c r="A49" s="83"/>
      <c r="B49" s="8" t="s">
        <v>273</v>
      </c>
      <c r="C49" s="4"/>
      <c r="D49" s="140">
        <v>80.2</v>
      </c>
      <c r="E49" s="130"/>
      <c r="F49" s="265"/>
      <c r="G49" s="11">
        <f t="shared" si="3"/>
        <v>0</v>
      </c>
      <c r="H49" s="11"/>
    </row>
    <row r="50" spans="1:14" ht="21.75" customHeight="1">
      <c r="A50" s="79" t="s">
        <v>73</v>
      </c>
      <c r="B50" s="95" t="s">
        <v>76</v>
      </c>
      <c r="C50" s="80">
        <v>1020</v>
      </c>
      <c r="D50" s="131">
        <f>SUM(D51,D55,D56,D57)</f>
        <v>8491.5</v>
      </c>
      <c r="E50" s="131">
        <f>SUM(E51,E55,E56,E57)</f>
        <v>8919</v>
      </c>
      <c r="F50" s="263">
        <f>SUM(F51,F55,F56,F57)</f>
        <v>10342</v>
      </c>
      <c r="G50" s="81">
        <f t="shared" si="3"/>
        <v>1423</v>
      </c>
      <c r="H50" s="81">
        <f t="shared" si="4"/>
        <v>13.759427576871012</v>
      </c>
      <c r="I50" s="88">
        <f>F52+F55+F56+F58+F59+F60+F61+F62+F63</f>
        <v>10341.999999999998</v>
      </c>
    </row>
    <row r="51" spans="1:14" s="69" customFormat="1" ht="20.25" customHeight="1">
      <c r="A51" s="82" t="s">
        <v>159</v>
      </c>
      <c r="B51" s="77" t="s">
        <v>88</v>
      </c>
      <c r="C51" s="89">
        <v>1021</v>
      </c>
      <c r="D51" s="132">
        <f>SUM(D52:D53)</f>
        <v>40.4</v>
      </c>
      <c r="E51" s="132">
        <f>SUM(E52:E54)</f>
        <v>65</v>
      </c>
      <c r="F51" s="264">
        <f>SUM(F52:F54)</f>
        <v>85</v>
      </c>
      <c r="G51" s="90">
        <f t="shared" si="3"/>
        <v>20</v>
      </c>
      <c r="H51" s="90">
        <f t="shared" si="4"/>
        <v>23.52941176470588</v>
      </c>
      <c r="J51" s="73"/>
      <c r="K51" s="74"/>
      <c r="L51" s="74"/>
      <c r="M51" s="74"/>
      <c r="N51" s="74"/>
    </row>
    <row r="52" spans="1:14" ht="20.25" customHeight="1">
      <c r="A52" s="66"/>
      <c r="B52" s="19" t="s">
        <v>135</v>
      </c>
      <c r="C52" s="4"/>
      <c r="D52" s="140">
        <v>34.5</v>
      </c>
      <c r="E52" s="140">
        <v>56</v>
      </c>
      <c r="F52" s="262">
        <v>85</v>
      </c>
      <c r="G52" s="11">
        <f t="shared" si="3"/>
        <v>29</v>
      </c>
      <c r="H52" s="11">
        <f t="shared" si="4"/>
        <v>34.117647058823529</v>
      </c>
      <c r="I52" s="88"/>
    </row>
    <row r="53" spans="1:14" ht="22.5" customHeight="1">
      <c r="A53" s="66"/>
      <c r="B53" s="19" t="s">
        <v>112</v>
      </c>
      <c r="C53" s="4"/>
      <c r="D53" s="140">
        <v>5.9</v>
      </c>
      <c r="E53" s="140">
        <v>7</v>
      </c>
      <c r="F53" s="262"/>
      <c r="G53" s="11">
        <f t="shared" si="3"/>
        <v>-7</v>
      </c>
      <c r="H53" s="107" t="e">
        <f t="shared" si="4"/>
        <v>#DIV/0!</v>
      </c>
    </row>
    <row r="54" spans="1:14" ht="37.5" customHeight="1">
      <c r="A54" s="66"/>
      <c r="B54" s="8" t="s">
        <v>313</v>
      </c>
      <c r="C54" s="4"/>
      <c r="D54" s="130"/>
      <c r="E54" s="140">
        <v>2</v>
      </c>
      <c r="F54" s="262"/>
      <c r="G54" s="11">
        <f t="shared" si="3"/>
        <v>-2</v>
      </c>
      <c r="H54" s="107" t="e">
        <f t="shared" si="4"/>
        <v>#DIV/0!</v>
      </c>
    </row>
    <row r="55" spans="1:14" s="69" customFormat="1" ht="18" customHeight="1">
      <c r="A55" s="82" t="s">
        <v>160</v>
      </c>
      <c r="B55" s="77" t="s">
        <v>1</v>
      </c>
      <c r="C55" s="89">
        <v>1022</v>
      </c>
      <c r="D55" s="146">
        <v>6712.4</v>
      </c>
      <c r="E55" s="146">
        <v>7100</v>
      </c>
      <c r="F55" s="266">
        <v>8197.5</v>
      </c>
      <c r="G55" s="90">
        <f t="shared" si="3"/>
        <v>1097.5</v>
      </c>
      <c r="H55" s="90">
        <f t="shared" si="4"/>
        <v>13.38822811832876</v>
      </c>
      <c r="I55" s="69">
        <f>F56/F55</f>
        <v>0.19170478804513572</v>
      </c>
      <c r="J55" s="73"/>
      <c r="K55" s="74"/>
      <c r="L55" s="74"/>
      <c r="M55" s="74"/>
      <c r="N55" s="74"/>
    </row>
    <row r="56" spans="1:14" s="69" customFormat="1" ht="21.75" customHeight="1">
      <c r="A56" s="82" t="s">
        <v>161</v>
      </c>
      <c r="B56" s="77" t="s">
        <v>2</v>
      </c>
      <c r="C56" s="89">
        <v>1023</v>
      </c>
      <c r="D56" s="146">
        <v>1443</v>
      </c>
      <c r="E56" s="146">
        <v>1420</v>
      </c>
      <c r="F56" s="266">
        <v>1571.5</v>
      </c>
      <c r="G56" s="90">
        <f t="shared" si="3"/>
        <v>151.5</v>
      </c>
      <c r="H56" s="90">
        <f t="shared" si="4"/>
        <v>9.6404708876869236</v>
      </c>
      <c r="J56" s="73"/>
      <c r="K56" s="74"/>
      <c r="L56" s="74"/>
      <c r="M56" s="74"/>
      <c r="N56" s="74"/>
    </row>
    <row r="57" spans="1:14" s="69" customFormat="1" ht="17.25" customHeight="1">
      <c r="A57" s="82" t="s">
        <v>226</v>
      </c>
      <c r="B57" s="96" t="s">
        <v>146</v>
      </c>
      <c r="C57" s="89">
        <v>1025</v>
      </c>
      <c r="D57" s="136">
        <f>SUM(D58:D63)</f>
        <v>295.7</v>
      </c>
      <c r="E57" s="136">
        <f>SUM(E58:E63)</f>
        <v>334</v>
      </c>
      <c r="F57" s="268">
        <f>SUM(F58:F63)</f>
        <v>488.00000000000006</v>
      </c>
      <c r="G57" s="90">
        <f t="shared" si="3"/>
        <v>154.00000000000006</v>
      </c>
      <c r="H57" s="90">
        <f t="shared" si="4"/>
        <v>31.557377049180335</v>
      </c>
      <c r="J57" s="73"/>
      <c r="K57" s="74"/>
      <c r="L57" s="74"/>
      <c r="M57" s="74"/>
      <c r="N57" s="74"/>
    </row>
    <row r="58" spans="1:14" ht="18" customHeight="1">
      <c r="A58" s="66"/>
      <c r="B58" s="170" t="s">
        <v>232</v>
      </c>
      <c r="C58" s="7"/>
      <c r="D58" s="140">
        <v>3.5</v>
      </c>
      <c r="E58" s="137"/>
      <c r="F58" s="265">
        <v>3</v>
      </c>
      <c r="G58" s="11">
        <f t="shared" si="3"/>
        <v>3</v>
      </c>
      <c r="H58" s="11">
        <f t="shared" si="4"/>
        <v>100</v>
      </c>
    </row>
    <row r="59" spans="1:14" ht="18" customHeight="1">
      <c r="A59" s="66"/>
      <c r="B59" s="209" t="s">
        <v>114</v>
      </c>
      <c r="C59" s="4"/>
      <c r="D59" s="208">
        <v>65.900000000000006</v>
      </c>
      <c r="E59" s="140">
        <v>69</v>
      </c>
      <c r="F59" s="267">
        <v>83.8</v>
      </c>
      <c r="G59" s="11">
        <f t="shared" si="3"/>
        <v>14.799999999999997</v>
      </c>
      <c r="H59" s="11">
        <f t="shared" si="4"/>
        <v>17.661097852028636</v>
      </c>
    </row>
    <row r="60" spans="1:14" ht="18" customHeight="1">
      <c r="A60" s="66"/>
      <c r="B60" s="170" t="s">
        <v>168</v>
      </c>
      <c r="C60" s="4"/>
      <c r="D60" s="208">
        <v>134.1</v>
      </c>
      <c r="E60" s="140">
        <v>150</v>
      </c>
      <c r="F60" s="267">
        <v>180</v>
      </c>
      <c r="G60" s="11">
        <f t="shared" si="3"/>
        <v>30</v>
      </c>
      <c r="H60" s="11">
        <f t="shared" si="4"/>
        <v>16.666666666666664</v>
      </c>
    </row>
    <row r="61" spans="1:14" ht="18" customHeight="1">
      <c r="A61" s="66"/>
      <c r="B61" s="170" t="s">
        <v>334</v>
      </c>
      <c r="C61" s="4"/>
      <c r="D61" s="208"/>
      <c r="E61" s="138"/>
      <c r="F61" s="267">
        <v>83.4</v>
      </c>
      <c r="G61" s="11"/>
      <c r="H61" s="11"/>
    </row>
    <row r="62" spans="1:14" ht="18" customHeight="1">
      <c r="A62" s="66"/>
      <c r="B62" s="170" t="s">
        <v>143</v>
      </c>
      <c r="C62" s="4"/>
      <c r="D62" s="208">
        <v>40.200000000000003</v>
      </c>
      <c r="E62" s="140">
        <v>45</v>
      </c>
      <c r="F62" s="267">
        <v>55</v>
      </c>
      <c r="G62" s="11">
        <f t="shared" si="3"/>
        <v>10</v>
      </c>
      <c r="H62" s="11">
        <f t="shared" si="4"/>
        <v>18.181818181818183</v>
      </c>
    </row>
    <row r="63" spans="1:14" ht="18" customHeight="1">
      <c r="A63" s="66"/>
      <c r="B63" s="101" t="s">
        <v>144</v>
      </c>
      <c r="C63" s="4"/>
      <c r="D63" s="140">
        <v>52</v>
      </c>
      <c r="E63" s="140">
        <v>70</v>
      </c>
      <c r="F63" s="265">
        <v>82.8</v>
      </c>
      <c r="G63" s="11">
        <f t="shared" si="3"/>
        <v>12.799999999999997</v>
      </c>
      <c r="H63" s="11">
        <f t="shared" si="4"/>
        <v>15.458937198067629</v>
      </c>
    </row>
    <row r="64" spans="1:14" ht="21" customHeight="1">
      <c r="A64" s="79" t="s">
        <v>162</v>
      </c>
      <c r="B64" s="97" t="s">
        <v>10</v>
      </c>
      <c r="C64" s="80">
        <v>1030</v>
      </c>
      <c r="D64" s="131">
        <f>SUM(D65,D66,D67)</f>
        <v>4005.8</v>
      </c>
      <c r="E64" s="131">
        <f>SUM(E65,E66,E67)</f>
        <v>4235</v>
      </c>
      <c r="F64" s="263">
        <f>SUM(F65,F66,F67)</f>
        <v>4664.0999999999995</v>
      </c>
      <c r="G64" s="81">
        <f t="shared" si="3"/>
        <v>429.09999999999945</v>
      </c>
      <c r="H64" s="81">
        <f t="shared" si="4"/>
        <v>9.2000600330181488</v>
      </c>
      <c r="I64" s="88">
        <f>F65+F66+F69+F70</f>
        <v>4664.1000000000004</v>
      </c>
    </row>
    <row r="65" spans="1:14" s="69" customFormat="1" ht="23.25" customHeight="1">
      <c r="A65" s="82" t="s">
        <v>227</v>
      </c>
      <c r="B65" s="96" t="s">
        <v>1</v>
      </c>
      <c r="C65" s="89">
        <v>1032</v>
      </c>
      <c r="D65" s="146">
        <v>3000.3</v>
      </c>
      <c r="E65" s="139">
        <v>3200</v>
      </c>
      <c r="F65" s="266">
        <v>3492</v>
      </c>
      <c r="G65" s="90">
        <f t="shared" si="3"/>
        <v>292</v>
      </c>
      <c r="H65" s="90">
        <f t="shared" si="4"/>
        <v>8.3619702176403194</v>
      </c>
      <c r="I65" s="69">
        <f>F66/F65</f>
        <v>0.20466781214203897</v>
      </c>
      <c r="J65" s="73"/>
      <c r="K65" s="74"/>
      <c r="L65" s="74"/>
      <c r="M65" s="74"/>
      <c r="N65" s="74"/>
    </row>
    <row r="66" spans="1:14" s="69" customFormat="1" ht="22.5" customHeight="1">
      <c r="A66" s="82" t="s">
        <v>194</v>
      </c>
      <c r="B66" s="96" t="s">
        <v>196</v>
      </c>
      <c r="C66" s="98">
        <v>1033</v>
      </c>
      <c r="D66" s="146">
        <v>641.4</v>
      </c>
      <c r="E66" s="146">
        <v>623</v>
      </c>
      <c r="F66" s="266">
        <v>714.7</v>
      </c>
      <c r="G66" s="90">
        <f t="shared" si="3"/>
        <v>91.700000000000045</v>
      </c>
      <c r="H66" s="90">
        <f t="shared" si="4"/>
        <v>12.83055827619981</v>
      </c>
      <c r="J66" s="73"/>
      <c r="K66" s="74"/>
      <c r="L66" s="74"/>
      <c r="M66" s="74"/>
      <c r="N66" s="74"/>
    </row>
    <row r="67" spans="1:14" s="69" customFormat="1" ht="21" customHeight="1">
      <c r="A67" s="82" t="s">
        <v>195</v>
      </c>
      <c r="B67" s="77" t="s">
        <v>190</v>
      </c>
      <c r="C67" s="89">
        <v>1035</v>
      </c>
      <c r="D67" s="132">
        <f>D69+D70+D68</f>
        <v>364.1</v>
      </c>
      <c r="E67" s="146">
        <f>E69+E70</f>
        <v>412</v>
      </c>
      <c r="F67" s="264">
        <f>F69+F70</f>
        <v>457.4</v>
      </c>
      <c r="G67" s="90">
        <f t="shared" si="3"/>
        <v>45.399999999999977</v>
      </c>
      <c r="H67" s="90">
        <f t="shared" si="4"/>
        <v>9.9256668124180099</v>
      </c>
      <c r="J67" s="73"/>
      <c r="K67" s="74"/>
      <c r="L67" s="74"/>
      <c r="M67" s="74"/>
      <c r="N67" s="74"/>
    </row>
    <row r="68" spans="1:14" s="69" customFormat="1" ht="21" customHeight="1">
      <c r="A68" s="82"/>
      <c r="B68" s="19" t="s">
        <v>275</v>
      </c>
      <c r="C68" s="89"/>
      <c r="D68" s="140">
        <v>8.5</v>
      </c>
      <c r="E68" s="132"/>
      <c r="F68" s="264"/>
      <c r="G68" s="90">
        <f t="shared" si="3"/>
        <v>0</v>
      </c>
      <c r="H68" s="90"/>
      <c r="J68" s="73"/>
      <c r="K68" s="74"/>
      <c r="L68" s="74"/>
      <c r="M68" s="74"/>
      <c r="N68" s="74"/>
    </row>
    <row r="69" spans="1:14" ht="23.25" customHeight="1">
      <c r="A69" s="66"/>
      <c r="B69" s="19" t="s">
        <v>126</v>
      </c>
      <c r="C69" s="4"/>
      <c r="D69" s="140">
        <v>161.19999999999999</v>
      </c>
      <c r="E69" s="140">
        <v>187</v>
      </c>
      <c r="F69" s="265">
        <v>122.6</v>
      </c>
      <c r="G69" s="11">
        <f t="shared" si="3"/>
        <v>-64.400000000000006</v>
      </c>
      <c r="H69" s="11">
        <f t="shared" si="4"/>
        <v>-52.528548123980435</v>
      </c>
    </row>
    <row r="70" spans="1:14" ht="24.75" customHeight="1">
      <c r="A70" s="66"/>
      <c r="B70" s="16" t="s">
        <v>130</v>
      </c>
      <c r="C70" s="4"/>
      <c r="D70" s="140">
        <v>194.4</v>
      </c>
      <c r="E70" s="140">
        <v>225</v>
      </c>
      <c r="F70" s="265">
        <v>334.8</v>
      </c>
      <c r="G70" s="11">
        <f t="shared" si="3"/>
        <v>109.80000000000001</v>
      </c>
      <c r="H70" s="11">
        <f t="shared" si="4"/>
        <v>32.795698924731184</v>
      </c>
    </row>
    <row r="71" spans="1:14" ht="101.25" customHeight="1">
      <c r="A71" s="171" t="s">
        <v>77</v>
      </c>
      <c r="B71" s="168" t="s">
        <v>253</v>
      </c>
      <c r="C71" s="4"/>
      <c r="D71" s="130"/>
      <c r="E71" s="141">
        <f>E73</f>
        <v>882.7</v>
      </c>
      <c r="F71" s="269">
        <f>F73</f>
        <v>776.5</v>
      </c>
      <c r="G71" s="36">
        <f t="shared" si="3"/>
        <v>-106.20000000000005</v>
      </c>
      <c r="H71" s="36">
        <f t="shared" si="4"/>
        <v>-13.676754668383778</v>
      </c>
    </row>
    <row r="72" spans="1:14" ht="24" customHeight="1">
      <c r="A72" s="104"/>
      <c r="B72" s="77" t="s">
        <v>71</v>
      </c>
      <c r="C72" s="4"/>
      <c r="D72" s="130"/>
      <c r="E72" s="134"/>
      <c r="F72" s="262"/>
      <c r="G72" s="11"/>
      <c r="H72" s="11"/>
    </row>
    <row r="73" spans="1:14" ht="39" customHeight="1">
      <c r="A73" s="105" t="s">
        <v>153</v>
      </c>
      <c r="B73" s="12" t="s">
        <v>75</v>
      </c>
      <c r="C73" s="80">
        <v>1010</v>
      </c>
      <c r="D73" s="130"/>
      <c r="E73" s="142">
        <f t="shared" ref="E73:F73" si="13">E74+E75</f>
        <v>882.7</v>
      </c>
      <c r="F73" s="270">
        <f t="shared" si="13"/>
        <v>776.5</v>
      </c>
      <c r="G73" s="81">
        <f t="shared" si="3"/>
        <v>-106.20000000000005</v>
      </c>
      <c r="H73" s="117">
        <f t="shared" si="4"/>
        <v>-13.676754668383778</v>
      </c>
    </row>
    <row r="74" spans="1:14" ht="24.75" customHeight="1">
      <c r="A74" s="106" t="s">
        <v>200</v>
      </c>
      <c r="B74" s="77" t="s">
        <v>1</v>
      </c>
      <c r="C74" s="89">
        <v>1012</v>
      </c>
      <c r="D74" s="132"/>
      <c r="E74" s="140">
        <v>723.6</v>
      </c>
      <c r="F74" s="265">
        <v>636.5</v>
      </c>
      <c r="G74" s="90">
        <f t="shared" si="3"/>
        <v>-87.100000000000023</v>
      </c>
      <c r="H74" s="109">
        <f t="shared" si="4"/>
        <v>-13.684210526315793</v>
      </c>
    </row>
    <row r="75" spans="1:14" ht="22.5" customHeight="1">
      <c r="A75" s="106" t="s">
        <v>163</v>
      </c>
      <c r="B75" s="77" t="s">
        <v>2</v>
      </c>
      <c r="C75" s="89">
        <v>1013</v>
      </c>
      <c r="D75" s="132"/>
      <c r="E75" s="140">
        <v>159.1</v>
      </c>
      <c r="F75" s="265">
        <v>140</v>
      </c>
      <c r="G75" s="90">
        <f t="shared" ref="G75:G144" si="14">F75-E75</f>
        <v>-19.099999999999994</v>
      </c>
      <c r="H75" s="109">
        <f t="shared" ref="H75:H144" si="15">G75/F75*100</f>
        <v>-13.642857142857141</v>
      </c>
      <c r="I75" s="67">
        <f>F75/F74</f>
        <v>0.21995286724273369</v>
      </c>
    </row>
    <row r="76" spans="1:14" ht="64.5" customHeight="1">
      <c r="A76" s="66" t="s">
        <v>220</v>
      </c>
      <c r="B76" s="172" t="s">
        <v>180</v>
      </c>
      <c r="C76" s="4"/>
      <c r="D76" s="129">
        <f t="shared" ref="D76" si="16">SUM(D78)</f>
        <v>185.6</v>
      </c>
      <c r="E76" s="129">
        <f t="shared" ref="E76:F76" si="17">SUM(E78)</f>
        <v>269.2</v>
      </c>
      <c r="F76" s="261">
        <f t="shared" si="17"/>
        <v>123.4</v>
      </c>
      <c r="G76" s="36">
        <f t="shared" si="14"/>
        <v>-145.79999999999998</v>
      </c>
      <c r="H76" s="36">
        <f t="shared" si="15"/>
        <v>-118.15235008103726</v>
      </c>
      <c r="I76" s="67">
        <v>76.099999999999994</v>
      </c>
    </row>
    <row r="77" spans="1:14" ht="24" customHeight="1">
      <c r="A77" s="66"/>
      <c r="B77" s="77" t="s">
        <v>71</v>
      </c>
      <c r="C77" s="4"/>
      <c r="D77" s="129"/>
      <c r="E77" s="129"/>
      <c r="F77" s="261"/>
      <c r="G77" s="36"/>
      <c r="H77" s="36"/>
    </row>
    <row r="78" spans="1:14" ht="40.5" customHeight="1">
      <c r="A78" s="79" t="s">
        <v>221</v>
      </c>
      <c r="B78" s="12" t="s">
        <v>75</v>
      </c>
      <c r="C78" s="80">
        <v>1010</v>
      </c>
      <c r="D78" s="131">
        <f>SUM(D79,D84,D85)</f>
        <v>185.6</v>
      </c>
      <c r="E78" s="131">
        <f>SUM(E79,E84,E85)</f>
        <v>269.2</v>
      </c>
      <c r="F78" s="263">
        <f>SUM(F79,F84,F85)</f>
        <v>123.4</v>
      </c>
      <c r="G78" s="81">
        <f t="shared" si="14"/>
        <v>-145.79999999999998</v>
      </c>
      <c r="H78" s="81">
        <f t="shared" si="15"/>
        <v>-118.15235008103726</v>
      </c>
    </row>
    <row r="79" spans="1:14" s="69" customFormat="1" ht="22.5" customHeight="1">
      <c r="A79" s="82" t="s">
        <v>222</v>
      </c>
      <c r="B79" s="77" t="s">
        <v>197</v>
      </c>
      <c r="C79" s="89">
        <v>1011</v>
      </c>
      <c r="D79" s="132">
        <f>D80+D81+D82+D83</f>
        <v>18.099999999999998</v>
      </c>
      <c r="E79" s="132">
        <f t="shared" ref="E79:F79" si="18">E80+E81+E82+E83</f>
        <v>14.100000000000001</v>
      </c>
      <c r="F79" s="264">
        <f t="shared" si="18"/>
        <v>17.3</v>
      </c>
      <c r="G79" s="90">
        <f t="shared" si="14"/>
        <v>3.1999999999999993</v>
      </c>
      <c r="H79" s="111">
        <f t="shared" si="15"/>
        <v>18.497109826589593</v>
      </c>
      <c r="J79" s="73"/>
      <c r="K79" s="74"/>
      <c r="L79" s="74"/>
      <c r="M79" s="74"/>
      <c r="N79" s="74"/>
    </row>
    <row r="80" spans="1:14" ht="21" customHeight="1">
      <c r="A80" s="83"/>
      <c r="B80" s="8" t="s">
        <v>121</v>
      </c>
      <c r="C80" s="4"/>
      <c r="D80" s="140">
        <v>9.8000000000000007</v>
      </c>
      <c r="E80" s="140">
        <v>7.6</v>
      </c>
      <c r="F80" s="265">
        <v>9.4</v>
      </c>
      <c r="G80" s="11">
        <f t="shared" si="14"/>
        <v>1.8000000000000007</v>
      </c>
      <c r="H80" s="107">
        <f t="shared" si="15"/>
        <v>19.148936170212774</v>
      </c>
    </row>
    <row r="81" spans="1:14" ht="21" customHeight="1">
      <c r="A81" s="83"/>
      <c r="B81" s="8" t="s">
        <v>122</v>
      </c>
      <c r="C81" s="4"/>
      <c r="D81" s="140">
        <v>1.1000000000000001</v>
      </c>
      <c r="E81" s="140">
        <v>0.9</v>
      </c>
      <c r="F81" s="265">
        <v>0.6</v>
      </c>
      <c r="G81" s="11">
        <f t="shared" si="14"/>
        <v>-0.30000000000000004</v>
      </c>
      <c r="H81" s="107">
        <f t="shared" si="15"/>
        <v>-50.000000000000014</v>
      </c>
    </row>
    <row r="82" spans="1:14" ht="21" customHeight="1">
      <c r="A82" s="83"/>
      <c r="B82" s="8" t="s">
        <v>123</v>
      </c>
      <c r="C82" s="4"/>
      <c r="D82" s="140">
        <v>6.8</v>
      </c>
      <c r="E82" s="140">
        <v>5.3</v>
      </c>
      <c r="F82" s="265">
        <v>7</v>
      </c>
      <c r="G82" s="11">
        <f t="shared" si="14"/>
        <v>1.7000000000000002</v>
      </c>
      <c r="H82" s="107">
        <f t="shared" si="15"/>
        <v>24.285714285714288</v>
      </c>
    </row>
    <row r="83" spans="1:14" ht="21" customHeight="1">
      <c r="A83" s="83"/>
      <c r="B83" s="8" t="s">
        <v>124</v>
      </c>
      <c r="C83" s="4"/>
      <c r="D83" s="140">
        <v>0.4</v>
      </c>
      <c r="E83" s="140">
        <v>0.3</v>
      </c>
      <c r="F83" s="265">
        <v>0.3</v>
      </c>
      <c r="G83" s="11">
        <f t="shared" si="14"/>
        <v>0</v>
      </c>
      <c r="H83" s="107">
        <f t="shared" si="15"/>
        <v>0</v>
      </c>
    </row>
    <row r="84" spans="1:14" ht="24.75" customHeight="1">
      <c r="A84" s="82" t="s">
        <v>258</v>
      </c>
      <c r="B84" s="96" t="s">
        <v>1</v>
      </c>
      <c r="C84" s="89">
        <v>1012</v>
      </c>
      <c r="D84" s="146">
        <v>137.30000000000001</v>
      </c>
      <c r="E84" s="146">
        <v>209.1</v>
      </c>
      <c r="F84" s="266">
        <v>87</v>
      </c>
      <c r="G84" s="90">
        <f t="shared" si="14"/>
        <v>-122.1</v>
      </c>
      <c r="H84" s="90">
        <f t="shared" si="15"/>
        <v>-140.34482758620689</v>
      </c>
      <c r="J84" s="210"/>
    </row>
    <row r="85" spans="1:14" ht="24.75" customHeight="1">
      <c r="A85" s="82" t="s">
        <v>259</v>
      </c>
      <c r="B85" s="96" t="s">
        <v>2</v>
      </c>
      <c r="C85" s="89">
        <v>1013</v>
      </c>
      <c r="D85" s="146">
        <v>30.2</v>
      </c>
      <c r="E85" s="146">
        <v>46</v>
      </c>
      <c r="F85" s="266">
        <v>19.100000000000001</v>
      </c>
      <c r="G85" s="90">
        <f t="shared" si="14"/>
        <v>-26.9</v>
      </c>
      <c r="H85" s="90">
        <f t="shared" si="15"/>
        <v>-140.83769633507853</v>
      </c>
      <c r="I85" s="67">
        <f>F85/F84</f>
        <v>0.21954022988505748</v>
      </c>
      <c r="J85" s="210"/>
    </row>
    <row r="86" spans="1:14" ht="57.75" customHeight="1">
      <c r="A86" s="66" t="s">
        <v>85</v>
      </c>
      <c r="B86" s="168" t="s">
        <v>363</v>
      </c>
      <c r="C86" s="4"/>
      <c r="D86" s="179">
        <v>50.3</v>
      </c>
      <c r="E86" s="140"/>
      <c r="F86" s="271">
        <f>F88</f>
        <v>73.900000000000006</v>
      </c>
      <c r="G86" s="11"/>
      <c r="H86" s="11"/>
    </row>
    <row r="87" spans="1:14" ht="24.75" customHeight="1">
      <c r="A87" s="83"/>
      <c r="B87" s="77" t="s">
        <v>71</v>
      </c>
      <c r="C87" s="4"/>
      <c r="D87" s="140"/>
      <c r="E87" s="140"/>
      <c r="F87" s="265"/>
      <c r="G87" s="11"/>
      <c r="H87" s="11"/>
    </row>
    <row r="88" spans="1:14" ht="37.5" customHeight="1">
      <c r="A88" s="79" t="s">
        <v>164</v>
      </c>
      <c r="B88" s="12" t="s">
        <v>75</v>
      </c>
      <c r="C88" s="80">
        <v>1010</v>
      </c>
      <c r="D88" s="179">
        <f>D89+D90</f>
        <v>50.300000000000004</v>
      </c>
      <c r="E88" s="140"/>
      <c r="F88" s="271">
        <f>F89+F90</f>
        <v>73.900000000000006</v>
      </c>
      <c r="G88" s="11"/>
      <c r="H88" s="11"/>
    </row>
    <row r="89" spans="1:14" ht="24.75" customHeight="1">
      <c r="A89" s="82" t="s">
        <v>165</v>
      </c>
      <c r="B89" s="96" t="s">
        <v>1</v>
      </c>
      <c r="C89" s="89">
        <v>1012</v>
      </c>
      <c r="D89" s="132">
        <v>41.2</v>
      </c>
      <c r="E89" s="140"/>
      <c r="F89" s="265">
        <v>60.5</v>
      </c>
      <c r="G89" s="11"/>
      <c r="H89" s="11"/>
    </row>
    <row r="90" spans="1:14" ht="24.75" customHeight="1">
      <c r="A90" s="82" t="s">
        <v>364</v>
      </c>
      <c r="B90" s="96" t="s">
        <v>2</v>
      </c>
      <c r="C90" s="89">
        <v>1013</v>
      </c>
      <c r="D90" s="132">
        <v>9.1</v>
      </c>
      <c r="E90" s="140"/>
      <c r="F90" s="265">
        <v>13.4</v>
      </c>
      <c r="G90" s="11"/>
      <c r="H90" s="11"/>
      <c r="I90" s="67">
        <f>F90/F89</f>
        <v>0.22148760330578512</v>
      </c>
    </row>
    <row r="91" spans="1:14" ht="60.75" customHeight="1">
      <c r="A91" s="66" t="s">
        <v>86</v>
      </c>
      <c r="B91" s="168" t="s">
        <v>170</v>
      </c>
      <c r="C91" s="7"/>
      <c r="D91" s="129">
        <f>D93</f>
        <v>42.5</v>
      </c>
      <c r="E91" s="27">
        <f>E93</f>
        <v>0</v>
      </c>
      <c r="F91" s="272">
        <f>F93</f>
        <v>2</v>
      </c>
      <c r="G91" s="36">
        <f t="shared" si="14"/>
        <v>2</v>
      </c>
      <c r="H91" s="107">
        <f t="shared" si="15"/>
        <v>100</v>
      </c>
    </row>
    <row r="92" spans="1:14" ht="25.5" customHeight="1">
      <c r="A92" s="66"/>
      <c r="B92" s="77" t="s">
        <v>71</v>
      </c>
      <c r="C92" s="7"/>
      <c r="D92" s="129"/>
      <c r="E92" s="27"/>
      <c r="F92" s="272"/>
      <c r="G92" s="36"/>
      <c r="H92" s="11"/>
    </row>
    <row r="93" spans="1:14" ht="39.75" customHeight="1">
      <c r="A93" s="79" t="s">
        <v>89</v>
      </c>
      <c r="B93" s="95" t="s">
        <v>147</v>
      </c>
      <c r="C93" s="80">
        <v>1010</v>
      </c>
      <c r="D93" s="131">
        <f t="shared" ref="D93:F93" si="19">D94</f>
        <v>42.5</v>
      </c>
      <c r="E93" s="143">
        <f t="shared" si="19"/>
        <v>0</v>
      </c>
      <c r="F93" s="273">
        <f t="shared" si="19"/>
        <v>2</v>
      </c>
      <c r="G93" s="81">
        <f t="shared" si="14"/>
        <v>2</v>
      </c>
      <c r="H93" s="111">
        <f t="shared" si="15"/>
        <v>100</v>
      </c>
    </row>
    <row r="94" spans="1:14" s="69" customFormat="1" ht="25.5" customHeight="1">
      <c r="A94" s="82" t="s">
        <v>171</v>
      </c>
      <c r="B94" s="77" t="s">
        <v>88</v>
      </c>
      <c r="C94" s="89">
        <v>1011</v>
      </c>
      <c r="D94" s="132">
        <f>D95+D96</f>
        <v>42.5</v>
      </c>
      <c r="E94" s="144">
        <f>SUM(E96:E96)</f>
        <v>0</v>
      </c>
      <c r="F94" s="274">
        <f>SUM(F96:F96)</f>
        <v>2</v>
      </c>
      <c r="G94" s="90">
        <f t="shared" si="14"/>
        <v>2</v>
      </c>
      <c r="H94" s="108">
        <f t="shared" si="15"/>
        <v>100</v>
      </c>
      <c r="J94" s="73"/>
      <c r="K94" s="74"/>
      <c r="L94" s="74"/>
      <c r="M94" s="74"/>
      <c r="N94" s="74"/>
    </row>
    <row r="95" spans="1:14" s="69" customFormat="1" ht="36" customHeight="1">
      <c r="A95" s="66"/>
      <c r="B95" s="8" t="s">
        <v>225</v>
      </c>
      <c r="C95" s="7"/>
      <c r="D95" s="140">
        <v>1.3</v>
      </c>
      <c r="E95" s="27"/>
      <c r="F95" s="262"/>
      <c r="G95" s="36">
        <f t="shared" si="14"/>
        <v>0</v>
      </c>
      <c r="H95" s="107" t="e">
        <f t="shared" si="15"/>
        <v>#DIV/0!</v>
      </c>
      <c r="J95" s="73"/>
      <c r="K95" s="74"/>
      <c r="L95" s="74"/>
      <c r="M95" s="74"/>
      <c r="N95" s="74"/>
    </row>
    <row r="96" spans="1:14" ht="24" customHeight="1">
      <c r="A96" s="83"/>
      <c r="B96" s="16" t="s">
        <v>109</v>
      </c>
      <c r="C96" s="4"/>
      <c r="D96" s="140">
        <v>41.2</v>
      </c>
      <c r="E96" s="144"/>
      <c r="F96" s="265">
        <v>2</v>
      </c>
      <c r="G96" s="11">
        <f t="shared" si="14"/>
        <v>2</v>
      </c>
      <c r="H96" s="107">
        <f t="shared" si="15"/>
        <v>100</v>
      </c>
    </row>
    <row r="97" spans="1:14" ht="61.5" customHeight="1">
      <c r="A97" s="7" t="s">
        <v>106</v>
      </c>
      <c r="B97" s="173" t="s">
        <v>276</v>
      </c>
      <c r="C97" s="7"/>
      <c r="D97" s="129">
        <f>D99+D108</f>
        <v>15322.6</v>
      </c>
      <c r="E97" s="129">
        <f>SUM(E99,E108)</f>
        <v>12420.8</v>
      </c>
      <c r="F97" s="261">
        <f>SUM(F99,F108)</f>
        <v>11497.899999999998</v>
      </c>
      <c r="G97" s="36">
        <f t="shared" si="14"/>
        <v>-922.90000000000146</v>
      </c>
      <c r="H97" s="36">
        <f t="shared" si="15"/>
        <v>-8.0266831334417734</v>
      </c>
      <c r="K97" s="113"/>
    </row>
    <row r="98" spans="1:14" ht="26.25" customHeight="1">
      <c r="A98" s="4"/>
      <c r="B98" s="99" t="s">
        <v>71</v>
      </c>
      <c r="C98" s="4"/>
      <c r="D98" s="130"/>
      <c r="E98" s="130"/>
      <c r="F98" s="262"/>
      <c r="G98" s="11"/>
      <c r="H98" s="11"/>
    </row>
    <row r="99" spans="1:14" ht="39" customHeight="1">
      <c r="A99" s="79" t="s">
        <v>87</v>
      </c>
      <c r="B99" s="12" t="s">
        <v>75</v>
      </c>
      <c r="C99" s="80">
        <v>1010</v>
      </c>
      <c r="D99" s="131">
        <f>SUM(D100,)</f>
        <v>15180.800000000001</v>
      </c>
      <c r="E99" s="131">
        <f t="shared" ref="E99:F99" si="20">SUM(E100,)</f>
        <v>12293.5</v>
      </c>
      <c r="F99" s="263">
        <f t="shared" si="20"/>
        <v>11367.899999999998</v>
      </c>
      <c r="G99" s="81">
        <f t="shared" si="14"/>
        <v>-925.60000000000218</v>
      </c>
      <c r="H99" s="81">
        <f t="shared" si="15"/>
        <v>-8.1422250371660763</v>
      </c>
    </row>
    <row r="100" spans="1:14" s="69" customFormat="1" ht="25.5" customHeight="1">
      <c r="A100" s="82" t="s">
        <v>172</v>
      </c>
      <c r="B100" s="77" t="s">
        <v>88</v>
      </c>
      <c r="C100" s="89">
        <v>1011</v>
      </c>
      <c r="D100" s="132">
        <f>SUM(D101:D107)</f>
        <v>15180.800000000001</v>
      </c>
      <c r="E100" s="132">
        <f>SUM(E101:E107)</f>
        <v>12293.5</v>
      </c>
      <c r="F100" s="264">
        <f>SUM(F101:F107)</f>
        <v>11367.899999999998</v>
      </c>
      <c r="G100" s="90">
        <f t="shared" si="14"/>
        <v>-925.60000000000218</v>
      </c>
      <c r="H100" s="90">
        <f t="shared" si="15"/>
        <v>-8.1422250371660763</v>
      </c>
      <c r="J100" s="73"/>
      <c r="K100" s="74"/>
      <c r="L100" s="74"/>
      <c r="M100" s="74"/>
      <c r="N100" s="74"/>
    </row>
    <row r="101" spans="1:14" ht="20.25" customHeight="1">
      <c r="A101" s="83"/>
      <c r="B101" s="101" t="s">
        <v>109</v>
      </c>
      <c r="C101" s="4"/>
      <c r="D101" s="140">
        <v>6408.7</v>
      </c>
      <c r="E101" s="140">
        <v>2080</v>
      </c>
      <c r="F101" s="265">
        <v>1157.2</v>
      </c>
      <c r="G101" s="11">
        <f t="shared" si="14"/>
        <v>-922.8</v>
      </c>
      <c r="H101" s="11">
        <f t="shared" si="15"/>
        <v>-79.744210162461101</v>
      </c>
    </row>
    <row r="102" spans="1:14" ht="20.25" customHeight="1">
      <c r="A102" s="83"/>
      <c r="B102" s="101" t="s">
        <v>219</v>
      </c>
      <c r="C102" s="4"/>
      <c r="D102" s="140">
        <v>36.1</v>
      </c>
      <c r="E102" s="140"/>
      <c r="F102" s="265"/>
      <c r="G102" s="11"/>
      <c r="H102" s="11"/>
    </row>
    <row r="103" spans="1:14" ht="21" customHeight="1">
      <c r="A103" s="83"/>
      <c r="B103" s="209" t="s">
        <v>129</v>
      </c>
      <c r="C103" s="4"/>
      <c r="D103" s="140">
        <v>292.39999999999998</v>
      </c>
      <c r="E103" s="211">
        <v>148.19999999999999</v>
      </c>
      <c r="F103" s="265">
        <v>148.19999999999999</v>
      </c>
      <c r="G103" s="11">
        <f t="shared" si="14"/>
        <v>0</v>
      </c>
      <c r="H103" s="11">
        <f t="shared" si="15"/>
        <v>0</v>
      </c>
    </row>
    <row r="104" spans="1:14" ht="20.25" customHeight="1">
      <c r="A104" s="83"/>
      <c r="B104" s="209" t="s">
        <v>121</v>
      </c>
      <c r="C104" s="4"/>
      <c r="D104" s="140">
        <v>4646.3</v>
      </c>
      <c r="E104" s="211">
        <v>4158.1000000000004</v>
      </c>
      <c r="F104" s="265">
        <v>4158.1000000000004</v>
      </c>
      <c r="G104" s="11">
        <f t="shared" si="14"/>
        <v>0</v>
      </c>
      <c r="H104" s="11">
        <f t="shared" si="15"/>
        <v>0</v>
      </c>
      <c r="I104" s="88"/>
    </row>
    <row r="105" spans="1:14" ht="20.25" customHeight="1">
      <c r="A105" s="83"/>
      <c r="B105" s="209" t="s">
        <v>122</v>
      </c>
      <c r="C105" s="4"/>
      <c r="D105" s="140">
        <v>333.1</v>
      </c>
      <c r="E105" s="211">
        <v>351.5</v>
      </c>
      <c r="F105" s="265">
        <v>351.4</v>
      </c>
      <c r="G105" s="11">
        <f t="shared" si="14"/>
        <v>-0.10000000000002274</v>
      </c>
      <c r="H105" s="11">
        <f t="shared" si="15"/>
        <v>-2.8457598178720192E-2</v>
      </c>
      <c r="I105" s="88"/>
    </row>
    <row r="106" spans="1:14" ht="20.25" customHeight="1">
      <c r="A106" s="83"/>
      <c r="B106" s="209" t="s">
        <v>123</v>
      </c>
      <c r="C106" s="4"/>
      <c r="D106" s="140">
        <v>3321.3</v>
      </c>
      <c r="E106" s="211">
        <v>5305.7</v>
      </c>
      <c r="F106" s="265">
        <v>5305.7</v>
      </c>
      <c r="G106" s="11">
        <f t="shared" si="14"/>
        <v>0</v>
      </c>
      <c r="H106" s="11">
        <f t="shared" si="15"/>
        <v>0</v>
      </c>
      <c r="I106" s="88"/>
    </row>
    <row r="107" spans="1:14" ht="22.5" customHeight="1">
      <c r="A107" s="83"/>
      <c r="B107" s="209" t="s">
        <v>124</v>
      </c>
      <c r="C107" s="4"/>
      <c r="D107" s="140">
        <v>142.9</v>
      </c>
      <c r="E107" s="211">
        <v>250</v>
      </c>
      <c r="F107" s="265">
        <v>247.3</v>
      </c>
      <c r="G107" s="11">
        <f t="shared" si="14"/>
        <v>-2.6999999999999886</v>
      </c>
      <c r="H107" s="11">
        <f t="shared" si="15"/>
        <v>-1.0917913465426561</v>
      </c>
      <c r="I107" s="88"/>
    </row>
    <row r="108" spans="1:14" ht="20.100000000000001" customHeight="1">
      <c r="A108" s="79" t="s">
        <v>402</v>
      </c>
      <c r="B108" s="95" t="s">
        <v>76</v>
      </c>
      <c r="C108" s="80">
        <v>1020</v>
      </c>
      <c r="D108" s="131">
        <f t="shared" ref="D108:F108" si="21">SUM(D109)</f>
        <v>141.79999999999998</v>
      </c>
      <c r="E108" s="131">
        <f t="shared" si="21"/>
        <v>127.3</v>
      </c>
      <c r="F108" s="263">
        <f t="shared" si="21"/>
        <v>130</v>
      </c>
      <c r="G108" s="81">
        <f t="shared" si="14"/>
        <v>2.7000000000000028</v>
      </c>
      <c r="H108" s="81">
        <f t="shared" si="15"/>
        <v>2.0769230769230789</v>
      </c>
    </row>
    <row r="109" spans="1:14" s="69" customFormat="1" ht="21" customHeight="1">
      <c r="A109" s="82" t="s">
        <v>403</v>
      </c>
      <c r="B109" s="96" t="s">
        <v>146</v>
      </c>
      <c r="C109" s="89">
        <v>1025</v>
      </c>
      <c r="D109" s="145">
        <f t="shared" ref="D109:F109" si="22">SUM(D110:D113)</f>
        <v>141.79999999999998</v>
      </c>
      <c r="E109" s="145">
        <f>E110+E111+E112+E113</f>
        <v>127.3</v>
      </c>
      <c r="F109" s="275">
        <f t="shared" si="22"/>
        <v>130</v>
      </c>
      <c r="G109" s="90">
        <f t="shared" si="14"/>
        <v>2.7000000000000028</v>
      </c>
      <c r="H109" s="90">
        <f t="shared" si="15"/>
        <v>2.0769230769230789</v>
      </c>
      <c r="J109" s="73"/>
      <c r="K109" s="74"/>
      <c r="L109" s="74"/>
      <c r="M109" s="74"/>
      <c r="N109" s="74"/>
    </row>
    <row r="110" spans="1:14" ht="21" customHeight="1">
      <c r="A110" s="83"/>
      <c r="B110" s="16" t="s">
        <v>121</v>
      </c>
      <c r="C110" s="4"/>
      <c r="D110" s="140">
        <v>101.1</v>
      </c>
      <c r="E110" s="140">
        <v>84.4</v>
      </c>
      <c r="F110" s="265">
        <v>84.4</v>
      </c>
      <c r="G110" s="11">
        <f t="shared" si="14"/>
        <v>0</v>
      </c>
      <c r="H110" s="11">
        <f t="shared" si="15"/>
        <v>0</v>
      </c>
    </row>
    <row r="111" spans="1:14" ht="21" customHeight="1">
      <c r="A111" s="83"/>
      <c r="B111" s="16" t="s">
        <v>122</v>
      </c>
      <c r="C111" s="4"/>
      <c r="D111" s="140">
        <v>3.6</v>
      </c>
      <c r="E111" s="140">
        <v>3.6</v>
      </c>
      <c r="F111" s="265">
        <v>3.6</v>
      </c>
      <c r="G111" s="11">
        <f t="shared" si="14"/>
        <v>0</v>
      </c>
      <c r="H111" s="11">
        <f t="shared" si="15"/>
        <v>0</v>
      </c>
    </row>
    <row r="112" spans="1:14" ht="20.25" customHeight="1">
      <c r="A112" s="83"/>
      <c r="B112" s="16" t="s">
        <v>123</v>
      </c>
      <c r="C112" s="4"/>
      <c r="D112" s="140">
        <v>35.200000000000003</v>
      </c>
      <c r="E112" s="140">
        <v>39</v>
      </c>
      <c r="F112" s="265">
        <v>39</v>
      </c>
      <c r="G112" s="11">
        <f t="shared" si="14"/>
        <v>0</v>
      </c>
      <c r="H112" s="11">
        <f t="shared" si="15"/>
        <v>0</v>
      </c>
    </row>
    <row r="113" spans="1:14" ht="21" customHeight="1">
      <c r="A113" s="83"/>
      <c r="B113" s="16" t="s">
        <v>124</v>
      </c>
      <c r="C113" s="4"/>
      <c r="D113" s="140">
        <v>1.9</v>
      </c>
      <c r="E113" s="140">
        <v>0.3</v>
      </c>
      <c r="F113" s="265">
        <v>3</v>
      </c>
      <c r="G113" s="11">
        <f t="shared" si="14"/>
        <v>2.7</v>
      </c>
      <c r="H113" s="11">
        <f t="shared" si="15"/>
        <v>90</v>
      </c>
    </row>
    <row r="114" spans="1:14" ht="50.25" customHeight="1">
      <c r="A114" s="66" t="s">
        <v>107</v>
      </c>
      <c r="B114" s="168" t="s">
        <v>256</v>
      </c>
      <c r="C114" s="7"/>
      <c r="D114" s="129">
        <f>D116</f>
        <v>0</v>
      </c>
      <c r="E114" s="141">
        <f t="shared" ref="E114:F114" si="23">E116</f>
        <v>0</v>
      </c>
      <c r="F114" s="261">
        <f t="shared" si="23"/>
        <v>5639</v>
      </c>
      <c r="G114" s="36">
        <f t="shared" si="14"/>
        <v>5639</v>
      </c>
      <c r="H114" s="174">
        <f t="shared" si="15"/>
        <v>100</v>
      </c>
    </row>
    <row r="115" spans="1:14" ht="24" customHeight="1">
      <c r="A115" s="83"/>
      <c r="B115" s="96" t="s">
        <v>71</v>
      </c>
      <c r="C115" s="4"/>
      <c r="D115" s="130"/>
      <c r="E115" s="134"/>
      <c r="F115" s="262"/>
      <c r="G115" s="11"/>
      <c r="H115" s="11"/>
    </row>
    <row r="116" spans="1:14" ht="45.75" customHeight="1">
      <c r="A116" s="79" t="s">
        <v>173</v>
      </c>
      <c r="B116" s="95" t="s">
        <v>75</v>
      </c>
      <c r="C116" s="80">
        <v>1010</v>
      </c>
      <c r="D116" s="131">
        <f>D117</f>
        <v>0</v>
      </c>
      <c r="E116" s="142">
        <f t="shared" ref="E116:F116" si="24">E117</f>
        <v>0</v>
      </c>
      <c r="F116" s="263">
        <f t="shared" si="24"/>
        <v>5639</v>
      </c>
      <c r="G116" s="81">
        <f t="shared" si="14"/>
        <v>5639</v>
      </c>
      <c r="H116" s="111">
        <f t="shared" si="15"/>
        <v>100</v>
      </c>
    </row>
    <row r="117" spans="1:14" ht="25.5" customHeight="1">
      <c r="A117" s="82" t="s">
        <v>174</v>
      </c>
      <c r="B117" s="96" t="s">
        <v>88</v>
      </c>
      <c r="C117" s="89">
        <v>1011</v>
      </c>
      <c r="D117" s="132">
        <f>SUM(D118:D119)</f>
        <v>0</v>
      </c>
      <c r="E117" s="135">
        <f>SUM(E118:E119)</f>
        <v>0</v>
      </c>
      <c r="F117" s="264">
        <f>SUM(F118:F119)</f>
        <v>5639</v>
      </c>
      <c r="G117" s="90">
        <f t="shared" si="14"/>
        <v>5639</v>
      </c>
      <c r="H117" s="108">
        <f t="shared" si="15"/>
        <v>100</v>
      </c>
    </row>
    <row r="118" spans="1:14" ht="22.5" customHeight="1">
      <c r="A118" s="83"/>
      <c r="B118" s="16" t="s">
        <v>109</v>
      </c>
      <c r="C118" s="4"/>
      <c r="D118" s="130"/>
      <c r="E118" s="134"/>
      <c r="F118" s="262">
        <v>5359.6</v>
      </c>
      <c r="G118" s="11">
        <f t="shared" si="14"/>
        <v>5359.6</v>
      </c>
      <c r="H118" s="107">
        <f t="shared" si="15"/>
        <v>100</v>
      </c>
    </row>
    <row r="119" spans="1:14" ht="23.25" customHeight="1">
      <c r="A119" s="83"/>
      <c r="B119" s="16" t="s">
        <v>219</v>
      </c>
      <c r="C119" s="4"/>
      <c r="D119" s="130"/>
      <c r="E119" s="134"/>
      <c r="F119" s="262">
        <v>279.39999999999998</v>
      </c>
      <c r="G119" s="11">
        <f t="shared" si="14"/>
        <v>279.39999999999998</v>
      </c>
      <c r="H119" s="107">
        <f t="shared" si="15"/>
        <v>100</v>
      </c>
    </row>
    <row r="120" spans="1:14" ht="27.75" customHeight="1">
      <c r="A120" s="66" t="s">
        <v>257</v>
      </c>
      <c r="B120" s="172" t="s">
        <v>166</v>
      </c>
      <c r="C120" s="7"/>
      <c r="D120" s="129">
        <f>SUM(D122,D128)</f>
        <v>166.2</v>
      </c>
      <c r="E120" s="129">
        <f>SUM(E122,E128)</f>
        <v>153.30000000000001</v>
      </c>
      <c r="F120" s="261">
        <f>SUM(F122,F128)</f>
        <v>170.4</v>
      </c>
      <c r="G120" s="36">
        <f t="shared" si="14"/>
        <v>17.099999999999994</v>
      </c>
      <c r="H120" s="36">
        <f t="shared" si="15"/>
        <v>10.03521126760563</v>
      </c>
      <c r="I120" s="67">
        <v>112.7</v>
      </c>
      <c r="K120" s="113"/>
    </row>
    <row r="121" spans="1:14" ht="24.75" customHeight="1">
      <c r="A121" s="83"/>
      <c r="B121" s="77" t="s">
        <v>71</v>
      </c>
      <c r="C121" s="7"/>
      <c r="D121" s="129"/>
      <c r="E121" s="129"/>
      <c r="F121" s="261"/>
      <c r="G121" s="11"/>
      <c r="H121" s="11"/>
    </row>
    <row r="122" spans="1:14" ht="39.75" customHeight="1">
      <c r="A122" s="79" t="s">
        <v>173</v>
      </c>
      <c r="B122" s="12" t="s">
        <v>75</v>
      </c>
      <c r="C122" s="80">
        <v>1010</v>
      </c>
      <c r="D122" s="131">
        <f>D123</f>
        <v>166</v>
      </c>
      <c r="E122" s="131">
        <f>E123</f>
        <v>153</v>
      </c>
      <c r="F122" s="263">
        <f>F123</f>
        <v>170.1</v>
      </c>
      <c r="G122" s="81">
        <f t="shared" si="14"/>
        <v>17.099999999999994</v>
      </c>
      <c r="H122" s="81">
        <f t="shared" si="15"/>
        <v>10.05291005291005</v>
      </c>
    </row>
    <row r="123" spans="1:14" s="69" customFormat="1" ht="22.5" customHeight="1">
      <c r="A123" s="82" t="s">
        <v>175</v>
      </c>
      <c r="B123" s="77" t="s">
        <v>88</v>
      </c>
      <c r="C123" s="89">
        <v>1011</v>
      </c>
      <c r="D123" s="132">
        <f>SUM(D124:D127)</f>
        <v>166</v>
      </c>
      <c r="E123" s="132">
        <f>E124+E125+E126+E127</f>
        <v>153</v>
      </c>
      <c r="F123" s="264">
        <f>SUM(F124:F127)</f>
        <v>170.1</v>
      </c>
      <c r="G123" s="90">
        <f t="shared" si="14"/>
        <v>17.099999999999994</v>
      </c>
      <c r="H123" s="90">
        <f t="shared" si="15"/>
        <v>10.05291005291005</v>
      </c>
      <c r="J123" s="73"/>
      <c r="K123" s="74"/>
      <c r="L123" s="74"/>
      <c r="M123" s="74"/>
      <c r="N123" s="74"/>
    </row>
    <row r="124" spans="1:14" ht="18.75" customHeight="1">
      <c r="A124" s="83"/>
      <c r="B124" s="8" t="s">
        <v>121</v>
      </c>
      <c r="C124" s="4"/>
      <c r="D124" s="140">
        <v>8.6</v>
      </c>
      <c r="E124" s="140">
        <v>6.7</v>
      </c>
      <c r="F124" s="265">
        <v>6.4</v>
      </c>
      <c r="G124" s="11">
        <f t="shared" si="14"/>
        <v>-0.29999999999999982</v>
      </c>
      <c r="H124" s="11">
        <f t="shared" si="15"/>
        <v>-4.6874999999999973</v>
      </c>
    </row>
    <row r="125" spans="1:14" ht="23.25" customHeight="1">
      <c r="A125" s="83"/>
      <c r="B125" s="8" t="s">
        <v>122</v>
      </c>
      <c r="C125" s="4"/>
      <c r="D125" s="140">
        <v>2</v>
      </c>
      <c r="E125" s="140">
        <v>2</v>
      </c>
      <c r="F125" s="265">
        <v>1.5</v>
      </c>
      <c r="G125" s="11">
        <f t="shared" si="14"/>
        <v>-0.5</v>
      </c>
      <c r="H125" s="11">
        <f t="shared" si="15"/>
        <v>-33.333333333333329</v>
      </c>
    </row>
    <row r="126" spans="1:14" ht="22.5" customHeight="1">
      <c r="A126" s="83"/>
      <c r="B126" s="8" t="s">
        <v>123</v>
      </c>
      <c r="C126" s="4"/>
      <c r="D126" s="140">
        <v>155</v>
      </c>
      <c r="E126" s="140">
        <v>144</v>
      </c>
      <c r="F126" s="265">
        <v>161.6</v>
      </c>
      <c r="G126" s="11">
        <f t="shared" si="14"/>
        <v>17.599999999999994</v>
      </c>
      <c r="H126" s="11">
        <f t="shared" si="15"/>
        <v>10.891089108910888</v>
      </c>
    </row>
    <row r="127" spans="1:14" ht="21" customHeight="1">
      <c r="A127" s="83"/>
      <c r="B127" s="8" t="s">
        <v>124</v>
      </c>
      <c r="C127" s="4"/>
      <c r="D127" s="140">
        <v>0.4</v>
      </c>
      <c r="E127" s="140">
        <v>0.3</v>
      </c>
      <c r="F127" s="265">
        <v>0.6</v>
      </c>
      <c r="G127" s="11">
        <f t="shared" si="14"/>
        <v>0.3</v>
      </c>
      <c r="H127" s="11">
        <f t="shared" si="15"/>
        <v>50</v>
      </c>
    </row>
    <row r="128" spans="1:14" ht="24" customHeight="1">
      <c r="A128" s="79" t="s">
        <v>404</v>
      </c>
      <c r="B128" s="12" t="s">
        <v>76</v>
      </c>
      <c r="C128" s="80">
        <v>1020</v>
      </c>
      <c r="D128" s="131">
        <f t="shared" ref="D128:F128" si="25">SUM(D129)</f>
        <v>0.2</v>
      </c>
      <c r="E128" s="131">
        <f t="shared" si="25"/>
        <v>0.3</v>
      </c>
      <c r="F128" s="263">
        <f t="shared" si="25"/>
        <v>0.3</v>
      </c>
      <c r="G128" s="81">
        <f t="shared" si="14"/>
        <v>0</v>
      </c>
      <c r="H128" s="81">
        <f t="shared" si="15"/>
        <v>0</v>
      </c>
    </row>
    <row r="129" spans="1:14" s="69" customFormat="1" ht="24" customHeight="1">
      <c r="A129" s="82" t="s">
        <v>405</v>
      </c>
      <c r="B129" s="96" t="s">
        <v>142</v>
      </c>
      <c r="C129" s="89">
        <v>1025</v>
      </c>
      <c r="D129" s="132">
        <f t="shared" ref="D129" si="26">SUM(D130)</f>
        <v>0.2</v>
      </c>
      <c r="E129" s="132">
        <v>0.3</v>
      </c>
      <c r="F129" s="264">
        <v>0.3</v>
      </c>
      <c r="G129" s="90">
        <f t="shared" si="14"/>
        <v>0</v>
      </c>
      <c r="H129" s="90">
        <f t="shared" si="15"/>
        <v>0</v>
      </c>
      <c r="J129" s="73"/>
      <c r="K129" s="74"/>
      <c r="L129" s="74"/>
      <c r="M129" s="74"/>
      <c r="N129" s="74"/>
    </row>
    <row r="130" spans="1:14" ht="22.5" customHeight="1">
      <c r="A130" s="83"/>
      <c r="B130" s="8" t="s">
        <v>38</v>
      </c>
      <c r="C130" s="4"/>
      <c r="D130" s="130">
        <v>0.2</v>
      </c>
      <c r="E130" s="134">
        <v>0.3</v>
      </c>
      <c r="F130" s="262">
        <v>0.3</v>
      </c>
      <c r="G130" s="11">
        <f t="shared" si="14"/>
        <v>0</v>
      </c>
      <c r="H130" s="11">
        <f t="shared" si="15"/>
        <v>0</v>
      </c>
    </row>
    <row r="131" spans="1:14" ht="24.75" customHeight="1">
      <c r="A131" s="66" t="s">
        <v>132</v>
      </c>
      <c r="B131" s="172" t="s">
        <v>131</v>
      </c>
      <c r="C131" s="7"/>
      <c r="D131" s="129">
        <f t="shared" ref="D131" si="27">SUM(D133,)</f>
        <v>0</v>
      </c>
      <c r="E131" s="131">
        <f t="shared" ref="E131:F131" si="28">SUM(E133,)</f>
        <v>5</v>
      </c>
      <c r="F131" s="261">
        <f t="shared" si="28"/>
        <v>0</v>
      </c>
      <c r="G131" s="36">
        <f t="shared" si="14"/>
        <v>-5</v>
      </c>
      <c r="H131" s="110" t="e">
        <f t="shared" si="15"/>
        <v>#DIV/0!</v>
      </c>
    </row>
    <row r="132" spans="1:14" ht="23.25" customHeight="1">
      <c r="A132" s="66"/>
      <c r="B132" s="77" t="s">
        <v>71</v>
      </c>
      <c r="C132" s="7"/>
      <c r="D132" s="129"/>
      <c r="E132" s="129"/>
      <c r="F132" s="261"/>
      <c r="G132" s="36"/>
      <c r="H132" s="110"/>
    </row>
    <row r="133" spans="1:14" ht="25.5" customHeight="1">
      <c r="A133" s="79" t="s">
        <v>167</v>
      </c>
      <c r="B133" s="12" t="s">
        <v>76</v>
      </c>
      <c r="C133" s="80">
        <v>1020</v>
      </c>
      <c r="D133" s="131">
        <f>D135</f>
        <v>0</v>
      </c>
      <c r="E133" s="131">
        <f>SUM(E134)</f>
        <v>5</v>
      </c>
      <c r="F133" s="263">
        <f>F135</f>
        <v>0</v>
      </c>
      <c r="G133" s="81">
        <f t="shared" si="14"/>
        <v>-5</v>
      </c>
      <c r="H133" s="108" t="e">
        <f t="shared" si="15"/>
        <v>#DIV/0!</v>
      </c>
    </row>
    <row r="134" spans="1:14" s="69" customFormat="1" ht="21.75" customHeight="1">
      <c r="A134" s="82" t="s">
        <v>187</v>
      </c>
      <c r="B134" s="77" t="s">
        <v>88</v>
      </c>
      <c r="C134" s="89">
        <v>1021</v>
      </c>
      <c r="D134" s="132">
        <f>D135</f>
        <v>0</v>
      </c>
      <c r="E134" s="132">
        <f>SUM(E135)</f>
        <v>5</v>
      </c>
      <c r="F134" s="264">
        <f>F135</f>
        <v>0</v>
      </c>
      <c r="G134" s="90">
        <f t="shared" si="14"/>
        <v>-5</v>
      </c>
      <c r="H134" s="108" t="e">
        <f t="shared" si="15"/>
        <v>#DIV/0!</v>
      </c>
      <c r="J134" s="73"/>
      <c r="K134" s="74"/>
      <c r="L134" s="74"/>
      <c r="M134" s="74"/>
      <c r="N134" s="74"/>
    </row>
    <row r="135" spans="1:14" ht="24.75" customHeight="1">
      <c r="A135" s="66"/>
      <c r="B135" s="8" t="s">
        <v>138</v>
      </c>
      <c r="C135" s="7"/>
      <c r="D135" s="130"/>
      <c r="E135" s="130">
        <v>5</v>
      </c>
      <c r="F135" s="262"/>
      <c r="G135" s="11">
        <f t="shared" si="14"/>
        <v>-5</v>
      </c>
      <c r="H135" s="107" t="e">
        <f t="shared" si="15"/>
        <v>#DIV/0!</v>
      </c>
    </row>
    <row r="136" spans="1:14" ht="27" customHeight="1">
      <c r="A136" s="66" t="s">
        <v>133</v>
      </c>
      <c r="B136" s="172" t="s">
        <v>238</v>
      </c>
      <c r="C136" s="7"/>
      <c r="D136" s="129">
        <f>SUM(D138,D162)</f>
        <v>7199.7999999999993</v>
      </c>
      <c r="E136" s="129">
        <f t="shared" ref="E136" si="29">SUM(E138,)</f>
        <v>0</v>
      </c>
      <c r="F136" s="261">
        <f>SUM(F138,F159,F162)</f>
        <v>10327.300000000001</v>
      </c>
      <c r="G136" s="174">
        <f t="shared" si="14"/>
        <v>10327.300000000001</v>
      </c>
      <c r="H136" s="174">
        <f t="shared" si="15"/>
        <v>100</v>
      </c>
      <c r="I136" s="67">
        <v>10327.299999999999</v>
      </c>
    </row>
    <row r="137" spans="1:14" ht="23.25" customHeight="1">
      <c r="A137" s="66"/>
      <c r="B137" s="77" t="s">
        <v>71</v>
      </c>
      <c r="C137" s="4"/>
      <c r="D137" s="130"/>
      <c r="E137" s="130"/>
      <c r="F137" s="262"/>
      <c r="G137" s="11"/>
      <c r="H137" s="11"/>
      <c r="I137" s="88"/>
    </row>
    <row r="138" spans="1:14" ht="38.25" customHeight="1">
      <c r="A138" s="79" t="s">
        <v>230</v>
      </c>
      <c r="B138" s="12" t="s">
        <v>75</v>
      </c>
      <c r="C138" s="80">
        <v>1010</v>
      </c>
      <c r="D138" s="131">
        <f>SUM(D139+D151)</f>
        <v>7199.2999999999993</v>
      </c>
      <c r="E138" s="131">
        <f t="shared" ref="E138" si="30">SUM(E139)</f>
        <v>0</v>
      </c>
      <c r="F138" s="263">
        <f>SUM(F139+F151)</f>
        <v>10324.1</v>
      </c>
      <c r="G138" s="81">
        <f t="shared" si="14"/>
        <v>10324.1</v>
      </c>
      <c r="H138" s="111">
        <f t="shared" si="15"/>
        <v>100</v>
      </c>
      <c r="I138" s="88"/>
    </row>
    <row r="139" spans="1:14" s="69" customFormat="1" ht="24" customHeight="1">
      <c r="A139" s="82" t="s">
        <v>231</v>
      </c>
      <c r="B139" s="77" t="s">
        <v>88</v>
      </c>
      <c r="C139" s="89">
        <v>1011</v>
      </c>
      <c r="D139" s="132">
        <f>SUM(D140:D150)</f>
        <v>7060.4</v>
      </c>
      <c r="E139" s="132">
        <f>SUM(E140:E150)</f>
        <v>0</v>
      </c>
      <c r="F139" s="264">
        <f>SUM(F140:F150)</f>
        <v>10242.4</v>
      </c>
      <c r="G139" s="90">
        <f t="shared" si="14"/>
        <v>10242.4</v>
      </c>
      <c r="H139" s="108">
        <f t="shared" si="15"/>
        <v>100</v>
      </c>
      <c r="I139" s="69">
        <v>10242.4</v>
      </c>
      <c r="J139" s="73"/>
      <c r="K139" s="74">
        <f>F139-F149-F150</f>
        <v>2373.6999999999998</v>
      </c>
      <c r="L139" s="74"/>
      <c r="M139" s="74"/>
      <c r="N139" s="74"/>
    </row>
    <row r="140" spans="1:14" ht="24" customHeight="1">
      <c r="A140" s="66"/>
      <c r="B140" s="101" t="s">
        <v>176</v>
      </c>
      <c r="C140" s="116"/>
      <c r="D140" s="140">
        <v>282.10000000000002</v>
      </c>
      <c r="E140" s="130"/>
      <c r="F140" s="262">
        <v>433.2</v>
      </c>
      <c r="G140" s="11">
        <f t="shared" si="14"/>
        <v>433.2</v>
      </c>
      <c r="H140" s="107">
        <f t="shared" si="15"/>
        <v>100</v>
      </c>
      <c r="I140" s="88">
        <f>F140+F141+F142+F143+F144+F145+F146+F147+F148</f>
        <v>2373.7000000000003</v>
      </c>
      <c r="J140" s="125"/>
    </row>
    <row r="141" spans="1:14" ht="21.75" customHeight="1">
      <c r="A141" s="66"/>
      <c r="B141" s="101" t="s">
        <v>205</v>
      </c>
      <c r="C141" s="5"/>
      <c r="D141" s="140">
        <v>1074.0999999999999</v>
      </c>
      <c r="E141" s="130"/>
      <c r="F141" s="262">
        <v>1033.9000000000001</v>
      </c>
      <c r="G141" s="11">
        <f t="shared" si="14"/>
        <v>1033.9000000000001</v>
      </c>
      <c r="H141" s="107">
        <f t="shared" si="15"/>
        <v>100</v>
      </c>
      <c r="I141" s="88"/>
    </row>
    <row r="142" spans="1:14" ht="21" customHeight="1">
      <c r="A142" s="66"/>
      <c r="B142" s="101" t="s">
        <v>188</v>
      </c>
      <c r="C142" s="5"/>
      <c r="D142" s="140">
        <v>293.89999999999998</v>
      </c>
      <c r="E142" s="130"/>
      <c r="F142" s="262">
        <v>248.3</v>
      </c>
      <c r="G142" s="11">
        <f t="shared" si="14"/>
        <v>248.3</v>
      </c>
      <c r="H142" s="107">
        <f t="shared" si="15"/>
        <v>100</v>
      </c>
    </row>
    <row r="143" spans="1:14" ht="20.25" customHeight="1">
      <c r="A143" s="66"/>
      <c r="B143" s="101" t="s">
        <v>136</v>
      </c>
      <c r="C143" s="5"/>
      <c r="D143" s="140">
        <v>98.3</v>
      </c>
      <c r="E143" s="130"/>
      <c r="F143" s="262">
        <v>78.5</v>
      </c>
      <c r="G143" s="11">
        <f t="shared" si="14"/>
        <v>78.5</v>
      </c>
      <c r="H143" s="107">
        <f t="shared" si="15"/>
        <v>100</v>
      </c>
    </row>
    <row r="144" spans="1:14" ht="18" customHeight="1">
      <c r="A144" s="66"/>
      <c r="B144" s="101" t="s">
        <v>137</v>
      </c>
      <c r="C144" s="5"/>
      <c r="D144" s="140">
        <v>12.2</v>
      </c>
      <c r="E144" s="130"/>
      <c r="F144" s="262">
        <v>297.39999999999998</v>
      </c>
      <c r="G144" s="11">
        <f t="shared" si="14"/>
        <v>297.39999999999998</v>
      </c>
      <c r="H144" s="107">
        <f t="shared" si="15"/>
        <v>100</v>
      </c>
    </row>
    <row r="145" spans="1:9" ht="22.5" customHeight="1">
      <c r="A145" s="66"/>
      <c r="B145" s="101" t="s">
        <v>360</v>
      </c>
      <c r="C145" s="5"/>
      <c r="D145" s="140">
        <v>2.8</v>
      </c>
      <c r="E145" s="130"/>
      <c r="F145" s="262">
        <v>100.9</v>
      </c>
      <c r="G145" s="11">
        <f t="shared" ref="G145:G201" si="31">F145-E145</f>
        <v>100.9</v>
      </c>
      <c r="H145" s="107">
        <f t="shared" ref="H145:H201" si="32">G145/F145*100</f>
        <v>100</v>
      </c>
    </row>
    <row r="146" spans="1:9" ht="22.5" customHeight="1">
      <c r="A146" s="66"/>
      <c r="B146" s="101" t="s">
        <v>361</v>
      </c>
      <c r="C146" s="5"/>
      <c r="D146" s="140"/>
      <c r="E146" s="130"/>
      <c r="F146" s="262">
        <v>25.4</v>
      </c>
      <c r="G146" s="11">
        <f t="shared" si="31"/>
        <v>25.4</v>
      </c>
      <c r="H146" s="107">
        <f t="shared" si="32"/>
        <v>100</v>
      </c>
    </row>
    <row r="147" spans="1:9" ht="21" customHeight="1">
      <c r="A147" s="66"/>
      <c r="B147" s="101" t="s">
        <v>139</v>
      </c>
      <c r="C147" s="5"/>
      <c r="D147" s="140">
        <v>217</v>
      </c>
      <c r="E147" s="130"/>
      <c r="F147" s="262">
        <v>155.5</v>
      </c>
      <c r="G147" s="11">
        <f t="shared" si="31"/>
        <v>155.5</v>
      </c>
      <c r="H147" s="107">
        <f t="shared" si="32"/>
        <v>100</v>
      </c>
    </row>
    <row r="148" spans="1:9" ht="42" customHeight="1">
      <c r="A148" s="66"/>
      <c r="B148" s="209" t="s">
        <v>336</v>
      </c>
      <c r="C148" s="200"/>
      <c r="D148" s="140">
        <v>5.5</v>
      </c>
      <c r="E148" s="130"/>
      <c r="F148" s="262">
        <v>0.6</v>
      </c>
      <c r="G148" s="11">
        <f t="shared" si="31"/>
        <v>0.6</v>
      </c>
      <c r="H148" s="107">
        <f t="shared" si="32"/>
        <v>100</v>
      </c>
    </row>
    <row r="149" spans="1:9" ht="22.5" customHeight="1">
      <c r="A149" s="66"/>
      <c r="B149" s="101" t="s">
        <v>109</v>
      </c>
      <c r="C149" s="200"/>
      <c r="D149" s="140">
        <v>4235.7</v>
      </c>
      <c r="E149" s="130"/>
      <c r="F149" s="262">
        <v>6590.4</v>
      </c>
      <c r="G149" s="11">
        <f t="shared" si="31"/>
        <v>6590.4</v>
      </c>
      <c r="H149" s="107">
        <f t="shared" si="32"/>
        <v>100</v>
      </c>
    </row>
    <row r="150" spans="1:9" ht="22.5" customHeight="1">
      <c r="A150" s="66"/>
      <c r="B150" s="101" t="s">
        <v>127</v>
      </c>
      <c r="C150" s="5"/>
      <c r="D150" s="140">
        <v>838.8</v>
      </c>
      <c r="E150" s="130"/>
      <c r="F150" s="262">
        <v>1278.3</v>
      </c>
      <c r="G150" s="11">
        <f t="shared" si="31"/>
        <v>1278.3</v>
      </c>
      <c r="H150" s="107">
        <f t="shared" si="32"/>
        <v>100</v>
      </c>
    </row>
    <row r="151" spans="1:9" ht="20.25" customHeight="1">
      <c r="A151" s="66" t="s">
        <v>409</v>
      </c>
      <c r="B151" s="12" t="s">
        <v>277</v>
      </c>
      <c r="C151" s="175">
        <v>1015</v>
      </c>
      <c r="D151" s="146">
        <f>D152+D153+D154+D155+D156+D157+D158</f>
        <v>138.9</v>
      </c>
      <c r="E151" s="130"/>
      <c r="F151" s="266">
        <f>F152+F153+F154+F155+F156+F157+F158</f>
        <v>81.7</v>
      </c>
      <c r="G151" s="90">
        <f t="shared" si="31"/>
        <v>81.7</v>
      </c>
      <c r="H151" s="107">
        <f t="shared" si="32"/>
        <v>100</v>
      </c>
    </row>
    <row r="152" spans="1:9" ht="20.25" customHeight="1">
      <c r="A152" s="66"/>
      <c r="B152" s="101" t="s">
        <v>278</v>
      </c>
      <c r="C152" s="4"/>
      <c r="D152" s="140">
        <v>54.9</v>
      </c>
      <c r="E152" s="130"/>
      <c r="F152" s="262">
        <v>38.9</v>
      </c>
      <c r="G152" s="11">
        <f t="shared" si="31"/>
        <v>38.9</v>
      </c>
      <c r="H152" s="107">
        <f t="shared" si="32"/>
        <v>100</v>
      </c>
      <c r="I152" s="88"/>
    </row>
    <row r="153" spans="1:9" ht="20.25" customHeight="1">
      <c r="A153" s="66"/>
      <c r="B153" s="170" t="s">
        <v>125</v>
      </c>
      <c r="C153" s="4"/>
      <c r="D153" s="140">
        <v>34.200000000000003</v>
      </c>
      <c r="E153" s="130"/>
      <c r="F153" s="262"/>
      <c r="G153" s="11">
        <f t="shared" si="31"/>
        <v>0</v>
      </c>
      <c r="H153" s="107" t="e">
        <f t="shared" si="32"/>
        <v>#DIV/0!</v>
      </c>
    </row>
    <row r="154" spans="1:9" ht="22.5" customHeight="1">
      <c r="A154" s="66"/>
      <c r="B154" s="170" t="s">
        <v>154</v>
      </c>
      <c r="C154" s="4"/>
      <c r="D154" s="140"/>
      <c r="E154" s="130"/>
      <c r="F154" s="262">
        <v>3.2</v>
      </c>
      <c r="G154" s="11">
        <f t="shared" si="31"/>
        <v>3.2</v>
      </c>
      <c r="H154" s="107">
        <f t="shared" si="32"/>
        <v>100</v>
      </c>
    </row>
    <row r="155" spans="1:9" ht="23.25" customHeight="1">
      <c r="A155" s="66"/>
      <c r="B155" s="101" t="s">
        <v>279</v>
      </c>
      <c r="C155" s="176"/>
      <c r="D155" s="208">
        <v>26.7</v>
      </c>
      <c r="E155" s="130"/>
      <c r="F155" s="262">
        <v>31.6</v>
      </c>
      <c r="G155" s="11">
        <f t="shared" si="31"/>
        <v>31.6</v>
      </c>
      <c r="H155" s="107">
        <f t="shared" si="32"/>
        <v>100</v>
      </c>
    </row>
    <row r="156" spans="1:9" ht="19.5" customHeight="1">
      <c r="A156" s="66"/>
      <c r="B156" s="177" t="s">
        <v>280</v>
      </c>
      <c r="C156" s="176"/>
      <c r="D156" s="208">
        <v>17.7</v>
      </c>
      <c r="E156" s="130"/>
      <c r="F156" s="262"/>
      <c r="G156" s="11">
        <f t="shared" si="31"/>
        <v>0</v>
      </c>
      <c r="H156" s="107" t="e">
        <f t="shared" si="32"/>
        <v>#DIV/0!</v>
      </c>
    </row>
    <row r="157" spans="1:9" ht="23.25" customHeight="1">
      <c r="A157" s="66"/>
      <c r="B157" s="177" t="s">
        <v>281</v>
      </c>
      <c r="C157" s="176"/>
      <c r="D157" s="208">
        <v>5.4</v>
      </c>
      <c r="E157" s="130"/>
      <c r="F157" s="262">
        <v>1.8</v>
      </c>
      <c r="G157" s="11">
        <f t="shared" si="31"/>
        <v>1.8</v>
      </c>
      <c r="H157" s="107">
        <f t="shared" si="32"/>
        <v>100</v>
      </c>
    </row>
    <row r="158" spans="1:9" ht="22.5" customHeight="1">
      <c r="A158" s="66"/>
      <c r="B158" s="177" t="s">
        <v>362</v>
      </c>
      <c r="C158" s="176"/>
      <c r="D158" s="208"/>
      <c r="E158" s="130"/>
      <c r="F158" s="262">
        <v>6.2</v>
      </c>
      <c r="G158" s="11">
        <f t="shared" si="31"/>
        <v>6.2</v>
      </c>
      <c r="H158" s="107">
        <f t="shared" si="32"/>
        <v>100</v>
      </c>
    </row>
    <row r="159" spans="1:9" ht="25.5" customHeight="1">
      <c r="A159" s="66" t="s">
        <v>410</v>
      </c>
      <c r="B159" s="118" t="s">
        <v>76</v>
      </c>
      <c r="C159" s="80">
        <v>1020</v>
      </c>
      <c r="D159" s="131"/>
      <c r="E159" s="130"/>
      <c r="F159" s="263">
        <f>F160</f>
        <v>3.2</v>
      </c>
      <c r="G159" s="11">
        <f t="shared" si="31"/>
        <v>3.2</v>
      </c>
      <c r="H159" s="107">
        <f t="shared" si="32"/>
        <v>100</v>
      </c>
    </row>
    <row r="160" spans="1:9" ht="24.75" customHeight="1">
      <c r="A160" s="106" t="s">
        <v>411</v>
      </c>
      <c r="B160" s="96" t="s">
        <v>282</v>
      </c>
      <c r="C160" s="89">
        <v>1025</v>
      </c>
      <c r="D160" s="130"/>
      <c r="E160" s="130"/>
      <c r="F160" s="264">
        <f>F161</f>
        <v>3.2</v>
      </c>
      <c r="G160" s="11">
        <f t="shared" si="31"/>
        <v>3.2</v>
      </c>
      <c r="H160" s="107">
        <f t="shared" si="32"/>
        <v>100</v>
      </c>
    </row>
    <row r="161" spans="1:14" ht="21.75" customHeight="1">
      <c r="A161" s="171"/>
      <c r="B161" s="8" t="s">
        <v>321</v>
      </c>
      <c r="C161" s="89"/>
      <c r="D161" s="130"/>
      <c r="E161" s="130"/>
      <c r="F161" s="262">
        <v>3.2</v>
      </c>
      <c r="G161" s="11">
        <f t="shared" si="31"/>
        <v>3.2</v>
      </c>
      <c r="H161" s="107">
        <f t="shared" si="32"/>
        <v>100</v>
      </c>
    </row>
    <row r="162" spans="1:14" s="69" customFormat="1" ht="23.25" customHeight="1">
      <c r="A162" s="105" t="s">
        <v>412</v>
      </c>
      <c r="B162" s="97" t="s">
        <v>10</v>
      </c>
      <c r="C162" s="80">
        <v>1030</v>
      </c>
      <c r="D162" s="131">
        <f>D163</f>
        <v>0.5</v>
      </c>
      <c r="E162" s="129"/>
      <c r="F162" s="261"/>
      <c r="G162" s="36">
        <f t="shared" si="31"/>
        <v>0</v>
      </c>
      <c r="H162" s="110" t="e">
        <f t="shared" si="32"/>
        <v>#DIV/0!</v>
      </c>
      <c r="J162" s="73"/>
      <c r="K162" s="74"/>
      <c r="L162" s="74"/>
      <c r="M162" s="74"/>
      <c r="N162" s="74"/>
    </row>
    <row r="163" spans="1:14" ht="20.25" customHeight="1">
      <c r="A163" s="106" t="s">
        <v>413</v>
      </c>
      <c r="B163" s="124" t="s">
        <v>250</v>
      </c>
      <c r="C163" s="89">
        <v>1035</v>
      </c>
      <c r="D163" s="132">
        <v>0.5</v>
      </c>
      <c r="E163" s="132"/>
      <c r="F163" s="264"/>
      <c r="G163" s="90">
        <f t="shared" si="31"/>
        <v>0</v>
      </c>
      <c r="H163" s="108" t="e">
        <f t="shared" si="32"/>
        <v>#DIV/0!</v>
      </c>
    </row>
    <row r="164" spans="1:14" ht="20.25" customHeight="1">
      <c r="A164" s="66"/>
      <c r="B164" s="177" t="s">
        <v>283</v>
      </c>
      <c r="C164" s="4"/>
      <c r="D164" s="140">
        <v>0.5</v>
      </c>
      <c r="E164" s="130"/>
      <c r="F164" s="262"/>
      <c r="G164" s="11">
        <f t="shared" si="31"/>
        <v>0</v>
      </c>
      <c r="H164" s="107" t="e">
        <f t="shared" si="32"/>
        <v>#DIV/0!</v>
      </c>
    </row>
    <row r="165" spans="1:14" ht="38.25" customHeight="1">
      <c r="A165" s="66" t="s">
        <v>223</v>
      </c>
      <c r="B165" s="20" t="s">
        <v>239</v>
      </c>
      <c r="C165" s="7"/>
      <c r="D165" s="179">
        <f>SUM(D167,D182)</f>
        <v>747</v>
      </c>
      <c r="E165" s="129">
        <f t="shared" ref="E165" si="33">SUM(E167,)</f>
        <v>0</v>
      </c>
      <c r="F165" s="261">
        <f>SUM(F167,F182)</f>
        <v>1662.8</v>
      </c>
      <c r="G165" s="36">
        <f t="shared" si="31"/>
        <v>1662.8</v>
      </c>
      <c r="H165" s="174">
        <f t="shared" si="32"/>
        <v>100</v>
      </c>
    </row>
    <row r="166" spans="1:14" ht="23.25" customHeight="1">
      <c r="A166" s="66"/>
      <c r="B166" s="180" t="s">
        <v>71</v>
      </c>
      <c r="C166" s="4"/>
      <c r="D166" s="140"/>
      <c r="E166" s="130"/>
      <c r="F166" s="262"/>
      <c r="G166" s="11">
        <f t="shared" si="31"/>
        <v>0</v>
      </c>
      <c r="H166" s="107" t="e">
        <f t="shared" si="32"/>
        <v>#DIV/0!</v>
      </c>
    </row>
    <row r="167" spans="1:14" ht="43.5" customHeight="1">
      <c r="A167" s="66" t="s">
        <v>224</v>
      </c>
      <c r="B167" s="178" t="s">
        <v>75</v>
      </c>
      <c r="C167" s="7">
        <v>1010</v>
      </c>
      <c r="D167" s="179">
        <f>SUM(D168+D176)</f>
        <v>747</v>
      </c>
      <c r="E167" s="129">
        <f t="shared" ref="E167" si="34">SUM(E168)</f>
        <v>0</v>
      </c>
      <c r="F167" s="261">
        <f>F168</f>
        <v>1662.8</v>
      </c>
      <c r="G167" s="36">
        <f t="shared" si="31"/>
        <v>1662.8</v>
      </c>
      <c r="H167" s="110">
        <f t="shared" si="32"/>
        <v>100</v>
      </c>
    </row>
    <row r="168" spans="1:14" ht="23.25" customHeight="1">
      <c r="A168" s="82" t="s">
        <v>260</v>
      </c>
      <c r="B168" s="181" t="s">
        <v>88</v>
      </c>
      <c r="C168" s="89">
        <v>1011</v>
      </c>
      <c r="D168" s="146">
        <f>SUM(D169:D175)</f>
        <v>747</v>
      </c>
      <c r="E168" s="132">
        <f>SUM(E169:E175)</f>
        <v>0</v>
      </c>
      <c r="F168" s="264">
        <f>F169</f>
        <v>1662.8</v>
      </c>
      <c r="G168" s="90">
        <f t="shared" si="31"/>
        <v>1662.8</v>
      </c>
      <c r="H168" s="108">
        <f t="shared" si="32"/>
        <v>100</v>
      </c>
    </row>
    <row r="169" spans="1:14" ht="24.75" customHeight="1">
      <c r="A169" s="66"/>
      <c r="B169" s="182" t="s">
        <v>109</v>
      </c>
      <c r="C169" s="4"/>
      <c r="D169" s="140">
        <v>747</v>
      </c>
      <c r="E169" s="130"/>
      <c r="F169" s="262">
        <v>1662.8</v>
      </c>
      <c r="G169" s="11">
        <f t="shared" si="31"/>
        <v>1662.8</v>
      </c>
      <c r="H169" s="107">
        <f t="shared" si="32"/>
        <v>100</v>
      </c>
    </row>
    <row r="170" spans="1:14" ht="24" customHeight="1">
      <c r="A170" s="66" t="s">
        <v>261</v>
      </c>
      <c r="B170" s="172" t="s">
        <v>246</v>
      </c>
      <c r="C170" s="7"/>
      <c r="D170" s="129">
        <f>SUM(D172,)</f>
        <v>0</v>
      </c>
      <c r="E170" s="129">
        <f t="shared" ref="E170:F170" si="35">SUM(E172,)</f>
        <v>0</v>
      </c>
      <c r="F170" s="261">
        <f t="shared" si="35"/>
        <v>20</v>
      </c>
      <c r="G170" s="36">
        <f t="shared" si="31"/>
        <v>20</v>
      </c>
      <c r="H170" s="174">
        <f t="shared" si="32"/>
        <v>100</v>
      </c>
    </row>
    <row r="171" spans="1:14" ht="22.5" customHeight="1">
      <c r="A171" s="66"/>
      <c r="B171" s="77" t="s">
        <v>71</v>
      </c>
      <c r="C171" s="4"/>
      <c r="D171" s="130"/>
      <c r="E171" s="130"/>
      <c r="F171" s="262"/>
      <c r="G171" s="11">
        <f t="shared" si="31"/>
        <v>0</v>
      </c>
      <c r="H171" s="107" t="e">
        <f t="shared" si="32"/>
        <v>#DIV/0!</v>
      </c>
    </row>
    <row r="172" spans="1:14" ht="38.25" customHeight="1">
      <c r="A172" s="79" t="s">
        <v>406</v>
      </c>
      <c r="B172" s="12" t="s">
        <v>75</v>
      </c>
      <c r="C172" s="80">
        <v>1010</v>
      </c>
      <c r="D172" s="131">
        <f>SUM(D173,)</f>
        <v>0</v>
      </c>
      <c r="E172" s="131">
        <f>SUM(E173,)</f>
        <v>0</v>
      </c>
      <c r="F172" s="263">
        <f>F174+F175</f>
        <v>20</v>
      </c>
      <c r="G172" s="81">
        <f t="shared" si="31"/>
        <v>20</v>
      </c>
      <c r="H172" s="111">
        <f t="shared" si="32"/>
        <v>100</v>
      </c>
    </row>
    <row r="173" spans="1:14" ht="24.75" customHeight="1">
      <c r="A173" s="82" t="s">
        <v>262</v>
      </c>
      <c r="B173" s="77" t="s">
        <v>88</v>
      </c>
      <c r="C173" s="89">
        <v>1011</v>
      </c>
      <c r="D173" s="132"/>
      <c r="E173" s="132">
        <f>SUM(E174:E175)</f>
        <v>0</v>
      </c>
      <c r="F173" s="264">
        <f>F174+F175</f>
        <v>20</v>
      </c>
      <c r="G173" s="90">
        <f t="shared" si="31"/>
        <v>20</v>
      </c>
      <c r="H173" s="108">
        <f t="shared" si="32"/>
        <v>100</v>
      </c>
    </row>
    <row r="174" spans="1:14" ht="21" customHeight="1">
      <c r="A174" s="66"/>
      <c r="B174" s="8" t="s">
        <v>176</v>
      </c>
      <c r="C174" s="7"/>
      <c r="D174" s="130"/>
      <c r="E174" s="130"/>
      <c r="F174" s="262"/>
      <c r="G174" s="11">
        <f t="shared" si="31"/>
        <v>0</v>
      </c>
      <c r="H174" s="107" t="e">
        <f t="shared" si="32"/>
        <v>#DIV/0!</v>
      </c>
    </row>
    <row r="175" spans="1:14" ht="21" customHeight="1">
      <c r="A175" s="66"/>
      <c r="B175" s="8" t="s">
        <v>109</v>
      </c>
      <c r="C175" s="17"/>
      <c r="D175" s="130"/>
      <c r="E175" s="130"/>
      <c r="F175" s="262">
        <v>20</v>
      </c>
      <c r="G175" s="11">
        <f t="shared" si="31"/>
        <v>20</v>
      </c>
      <c r="H175" s="107">
        <f t="shared" si="32"/>
        <v>100</v>
      </c>
    </row>
    <row r="176" spans="1:14" s="69" customFormat="1" ht="21.75" customHeight="1">
      <c r="A176" s="66" t="s">
        <v>407</v>
      </c>
      <c r="B176" s="172" t="s">
        <v>247</v>
      </c>
      <c r="C176" s="7"/>
      <c r="D176" s="129"/>
      <c r="E176" s="129"/>
      <c r="F176" s="261">
        <f>F178</f>
        <v>910.3</v>
      </c>
      <c r="G176" s="36">
        <f t="shared" si="31"/>
        <v>910.3</v>
      </c>
      <c r="H176" s="174">
        <f t="shared" si="32"/>
        <v>100</v>
      </c>
      <c r="J176" s="73"/>
      <c r="K176" s="74"/>
      <c r="L176" s="74"/>
      <c r="M176" s="74"/>
      <c r="N176" s="74"/>
    </row>
    <row r="177" spans="1:14" ht="25.5" customHeight="1">
      <c r="A177" s="66"/>
      <c r="B177" s="77" t="s">
        <v>71</v>
      </c>
      <c r="C177" s="4"/>
      <c r="D177" s="130"/>
      <c r="E177" s="130"/>
      <c r="F177" s="262"/>
      <c r="G177" s="11">
        <f t="shared" si="31"/>
        <v>0</v>
      </c>
      <c r="H177" s="107" t="e">
        <f t="shared" si="32"/>
        <v>#DIV/0!</v>
      </c>
    </row>
    <row r="178" spans="1:14" ht="43.5" customHeight="1">
      <c r="A178" s="79" t="s">
        <v>407</v>
      </c>
      <c r="B178" s="12" t="s">
        <v>75</v>
      </c>
      <c r="C178" s="80">
        <v>1010</v>
      </c>
      <c r="D178" s="131">
        <f>D179</f>
        <v>0</v>
      </c>
      <c r="E178" s="131">
        <f>SUM(E179)</f>
        <v>0</v>
      </c>
      <c r="F178" s="263">
        <f>F179</f>
        <v>910.3</v>
      </c>
      <c r="G178" s="81">
        <f t="shared" si="31"/>
        <v>910.3</v>
      </c>
      <c r="H178" s="111">
        <f t="shared" si="32"/>
        <v>100</v>
      </c>
    </row>
    <row r="179" spans="1:14" ht="24.75" customHeight="1">
      <c r="A179" s="82" t="s">
        <v>408</v>
      </c>
      <c r="B179" s="77" t="s">
        <v>88</v>
      </c>
      <c r="C179" s="89">
        <v>1011</v>
      </c>
      <c r="D179" s="132">
        <f>D180</f>
        <v>0</v>
      </c>
      <c r="E179" s="132">
        <f>SUM(E180)</f>
        <v>0</v>
      </c>
      <c r="F179" s="264">
        <f>F180</f>
        <v>910.3</v>
      </c>
      <c r="G179" s="90">
        <f t="shared" si="31"/>
        <v>910.3</v>
      </c>
      <c r="H179" s="108">
        <f t="shared" si="32"/>
        <v>100</v>
      </c>
    </row>
    <row r="180" spans="1:14" ht="23.25" customHeight="1">
      <c r="A180" s="66"/>
      <c r="B180" s="8" t="s">
        <v>109</v>
      </c>
      <c r="C180" s="17"/>
      <c r="D180" s="130"/>
      <c r="E180" s="130"/>
      <c r="F180" s="262">
        <v>910.3</v>
      </c>
      <c r="G180" s="11">
        <f t="shared" si="31"/>
        <v>910.3</v>
      </c>
      <c r="H180" s="107">
        <f t="shared" si="32"/>
        <v>100</v>
      </c>
    </row>
    <row r="181" spans="1:14" ht="41.25" customHeight="1">
      <c r="A181" s="66" t="s">
        <v>263</v>
      </c>
      <c r="B181" s="183" t="s">
        <v>177</v>
      </c>
      <c r="C181" s="7"/>
      <c r="D181" s="129">
        <f>D183+D194</f>
        <v>329.70000000000005</v>
      </c>
      <c r="E181" s="129">
        <f>E183+E194</f>
        <v>391.5</v>
      </c>
      <c r="F181" s="261">
        <f>F183+F198+F194</f>
        <v>718.7</v>
      </c>
      <c r="G181" s="36">
        <f t="shared" si="31"/>
        <v>327.20000000000005</v>
      </c>
      <c r="H181" s="36">
        <f t="shared" si="32"/>
        <v>45.526645331849174</v>
      </c>
    </row>
    <row r="182" spans="1:14" ht="23.25" customHeight="1">
      <c r="A182" s="66"/>
      <c r="B182" s="112" t="s">
        <v>71</v>
      </c>
      <c r="C182" s="7"/>
      <c r="D182" s="129"/>
      <c r="E182" s="129"/>
      <c r="F182" s="261"/>
      <c r="G182" s="36"/>
      <c r="H182" s="36"/>
    </row>
    <row r="183" spans="1:14" ht="42.75" customHeight="1">
      <c r="A183" s="79" t="s">
        <v>264</v>
      </c>
      <c r="B183" s="12" t="s">
        <v>75</v>
      </c>
      <c r="C183" s="80">
        <v>1010</v>
      </c>
      <c r="D183" s="131">
        <f>SUM(D184,D187)</f>
        <v>197.8</v>
      </c>
      <c r="E183" s="131">
        <f>SUM(E184,E187)</f>
        <v>388</v>
      </c>
      <c r="F183" s="263">
        <f>SUM(F184,F187)</f>
        <v>640.70000000000005</v>
      </c>
      <c r="G183" s="81">
        <f t="shared" si="31"/>
        <v>252.70000000000005</v>
      </c>
      <c r="H183" s="81">
        <f t="shared" si="32"/>
        <v>39.441236147963174</v>
      </c>
    </row>
    <row r="184" spans="1:14" s="69" customFormat="1" ht="25.5" customHeight="1">
      <c r="A184" s="82" t="s">
        <v>265</v>
      </c>
      <c r="B184" s="77" t="s">
        <v>88</v>
      </c>
      <c r="C184" s="89">
        <v>1011</v>
      </c>
      <c r="D184" s="132">
        <f>SUM(D185)</f>
        <v>82.1</v>
      </c>
      <c r="E184" s="132">
        <f>SUM(E185,E186)</f>
        <v>60</v>
      </c>
      <c r="F184" s="264">
        <f>SUM(F185+F186)</f>
        <v>39.200000000000003</v>
      </c>
      <c r="G184" s="90">
        <f t="shared" si="31"/>
        <v>-20.799999999999997</v>
      </c>
      <c r="H184" s="90">
        <f t="shared" si="32"/>
        <v>-53.061224489795912</v>
      </c>
      <c r="J184" s="73"/>
      <c r="K184" s="74"/>
      <c r="L184" s="74"/>
      <c r="M184" s="74"/>
      <c r="N184" s="74"/>
    </row>
    <row r="185" spans="1:14" ht="77.25" customHeight="1">
      <c r="A185" s="66"/>
      <c r="B185" s="19" t="s">
        <v>284</v>
      </c>
      <c r="C185" s="4"/>
      <c r="D185" s="130">
        <v>82.1</v>
      </c>
      <c r="E185" s="130">
        <v>60</v>
      </c>
      <c r="F185" s="262"/>
      <c r="G185" s="11">
        <f t="shared" si="31"/>
        <v>-60</v>
      </c>
      <c r="H185" s="107" t="e">
        <f t="shared" si="32"/>
        <v>#DIV/0!</v>
      </c>
    </row>
    <row r="186" spans="1:14" ht="22.5" customHeight="1">
      <c r="A186" s="66"/>
      <c r="B186" s="10" t="s">
        <v>137</v>
      </c>
      <c r="C186" s="4"/>
      <c r="D186" s="130"/>
      <c r="E186" s="134"/>
      <c r="F186" s="262">
        <v>39.200000000000003</v>
      </c>
      <c r="G186" s="11">
        <f t="shared" si="31"/>
        <v>39.200000000000003</v>
      </c>
      <c r="H186" s="11">
        <f t="shared" si="32"/>
        <v>100</v>
      </c>
    </row>
    <row r="187" spans="1:14" ht="22.5" customHeight="1">
      <c r="A187" s="82" t="s">
        <v>326</v>
      </c>
      <c r="B187" s="77" t="s">
        <v>78</v>
      </c>
      <c r="C187" s="89">
        <v>1015</v>
      </c>
      <c r="D187" s="132">
        <f>D188+D189+D193</f>
        <v>115.7</v>
      </c>
      <c r="E187" s="132">
        <f>E188+E189+E193</f>
        <v>328</v>
      </c>
      <c r="F187" s="264">
        <f>F188+F189+F190+F191+F192+F193</f>
        <v>601.5</v>
      </c>
      <c r="G187" s="90">
        <f t="shared" si="31"/>
        <v>273.5</v>
      </c>
      <c r="H187" s="90">
        <f t="shared" si="32"/>
        <v>45.469659185369906</v>
      </c>
      <c r="I187" s="67">
        <v>526</v>
      </c>
    </row>
    <row r="188" spans="1:14" ht="75">
      <c r="A188" s="66"/>
      <c r="B188" s="8" t="s">
        <v>319</v>
      </c>
      <c r="C188" s="4"/>
      <c r="D188" s="130">
        <v>15.7</v>
      </c>
      <c r="E188" s="134">
        <v>30</v>
      </c>
      <c r="F188" s="262">
        <f>42.1+9.9+9.9+9.9+5.3</f>
        <v>77.099999999999994</v>
      </c>
      <c r="G188" s="11">
        <f t="shared" si="31"/>
        <v>47.099999999999994</v>
      </c>
      <c r="H188" s="11">
        <f t="shared" si="32"/>
        <v>61.089494163424121</v>
      </c>
    </row>
    <row r="189" spans="1:14" ht="38.25" customHeight="1">
      <c r="A189" s="66"/>
      <c r="B189" s="8" t="s">
        <v>236</v>
      </c>
      <c r="C189" s="4"/>
      <c r="D189" s="130">
        <v>1</v>
      </c>
      <c r="E189" s="134">
        <v>1</v>
      </c>
      <c r="F189" s="262">
        <v>2.1</v>
      </c>
      <c r="G189" s="11">
        <f t="shared" si="31"/>
        <v>1.1000000000000001</v>
      </c>
      <c r="H189" s="11">
        <f t="shared" si="32"/>
        <v>52.380952380952387</v>
      </c>
    </row>
    <row r="190" spans="1:14" ht="55.5" customHeight="1">
      <c r="A190" s="66"/>
      <c r="B190" s="19" t="s">
        <v>203</v>
      </c>
      <c r="C190" s="4"/>
      <c r="D190" s="130"/>
      <c r="E190" s="134"/>
      <c r="F190" s="262">
        <v>5.4</v>
      </c>
      <c r="G190" s="11">
        <f t="shared" si="31"/>
        <v>5.4</v>
      </c>
      <c r="H190" s="11">
        <f t="shared" si="32"/>
        <v>100</v>
      </c>
    </row>
    <row r="191" spans="1:14" ht="21.75" customHeight="1">
      <c r="A191" s="66"/>
      <c r="B191" s="19" t="s">
        <v>320</v>
      </c>
      <c r="C191" s="4"/>
      <c r="D191" s="130"/>
      <c r="E191" s="134"/>
      <c r="F191" s="262">
        <v>144.4</v>
      </c>
      <c r="G191" s="11">
        <f t="shared" si="31"/>
        <v>144.4</v>
      </c>
      <c r="H191" s="11">
        <f t="shared" si="32"/>
        <v>100</v>
      </c>
    </row>
    <row r="192" spans="1:14" ht="77.25" customHeight="1">
      <c r="A192" s="66"/>
      <c r="B192" s="19" t="s">
        <v>359</v>
      </c>
      <c r="C192" s="4"/>
      <c r="D192" s="130"/>
      <c r="E192" s="134"/>
      <c r="F192" s="262">
        <f>12.5+41.5+4.3+17.2</f>
        <v>75.5</v>
      </c>
      <c r="G192" s="11"/>
      <c r="H192" s="11"/>
    </row>
    <row r="193" spans="1:14" ht="38.25" customHeight="1">
      <c r="A193" s="66"/>
      <c r="B193" s="101" t="s">
        <v>248</v>
      </c>
      <c r="C193" s="4"/>
      <c r="D193" s="130">
        <v>99</v>
      </c>
      <c r="E193" s="134">
        <v>297</v>
      </c>
      <c r="F193" s="262">
        <v>297</v>
      </c>
      <c r="G193" s="11">
        <f t="shared" si="31"/>
        <v>0</v>
      </c>
      <c r="H193" s="11">
        <f t="shared" si="32"/>
        <v>0</v>
      </c>
    </row>
    <row r="194" spans="1:14" s="69" customFormat="1" ht="23.25" customHeight="1">
      <c r="A194" s="79" t="s">
        <v>327</v>
      </c>
      <c r="B194" s="12" t="s">
        <v>76</v>
      </c>
      <c r="C194" s="80">
        <v>1020</v>
      </c>
      <c r="D194" s="131">
        <f>D195</f>
        <v>131.9</v>
      </c>
      <c r="E194" s="131">
        <f>E195</f>
        <v>3.5</v>
      </c>
      <c r="F194" s="263">
        <f>F195</f>
        <v>4.9000000000000004</v>
      </c>
      <c r="G194" s="81">
        <f t="shared" si="31"/>
        <v>1.4000000000000004</v>
      </c>
      <c r="H194" s="81">
        <f t="shared" si="32"/>
        <v>28.571428571428577</v>
      </c>
      <c r="J194" s="73"/>
      <c r="K194" s="74"/>
      <c r="L194" s="74"/>
      <c r="M194" s="74"/>
      <c r="N194" s="74"/>
    </row>
    <row r="195" spans="1:14" ht="25.5" customHeight="1">
      <c r="A195" s="82" t="s">
        <v>328</v>
      </c>
      <c r="B195" s="96" t="s">
        <v>142</v>
      </c>
      <c r="C195" s="89">
        <v>1025</v>
      </c>
      <c r="D195" s="132">
        <f>D196+D197</f>
        <v>131.9</v>
      </c>
      <c r="E195" s="132">
        <f>E196</f>
        <v>3.5</v>
      </c>
      <c r="F195" s="264">
        <f>F196</f>
        <v>4.9000000000000004</v>
      </c>
      <c r="G195" s="90">
        <f t="shared" si="31"/>
        <v>1.4000000000000004</v>
      </c>
      <c r="H195" s="90">
        <f t="shared" si="32"/>
        <v>28.571428571428577</v>
      </c>
    </row>
    <row r="196" spans="1:14" ht="40.5" customHeight="1">
      <c r="A196" s="66"/>
      <c r="B196" s="8" t="s">
        <v>145</v>
      </c>
      <c r="C196" s="4"/>
      <c r="D196" s="130">
        <v>105.6</v>
      </c>
      <c r="E196" s="134">
        <v>3.5</v>
      </c>
      <c r="F196" s="262">
        <v>4.9000000000000004</v>
      </c>
      <c r="G196" s="11">
        <f t="shared" si="31"/>
        <v>1.4000000000000004</v>
      </c>
      <c r="H196" s="11">
        <f t="shared" si="32"/>
        <v>28.571428571428577</v>
      </c>
    </row>
    <row r="197" spans="1:14" ht="20.25" customHeight="1">
      <c r="A197" s="66"/>
      <c r="B197" s="101" t="s">
        <v>228</v>
      </c>
      <c r="C197" s="4"/>
      <c r="D197" s="130">
        <v>26.3</v>
      </c>
      <c r="E197" s="134"/>
      <c r="F197" s="262"/>
      <c r="G197" s="11"/>
      <c r="H197" s="11"/>
    </row>
    <row r="198" spans="1:14" ht="23.25" customHeight="1">
      <c r="A198" s="79" t="s">
        <v>329</v>
      </c>
      <c r="B198" s="97" t="s">
        <v>10</v>
      </c>
      <c r="C198" s="80">
        <v>1030</v>
      </c>
      <c r="D198" s="129"/>
      <c r="E198" s="141"/>
      <c r="F198" s="261">
        <f>F199</f>
        <v>73.099999999999994</v>
      </c>
      <c r="G198" s="36">
        <f t="shared" si="31"/>
        <v>73.099999999999994</v>
      </c>
      <c r="H198" s="36">
        <f t="shared" si="32"/>
        <v>100</v>
      </c>
    </row>
    <row r="199" spans="1:14" ht="23.25" customHeight="1">
      <c r="A199" s="82" t="s">
        <v>330</v>
      </c>
      <c r="B199" s="150" t="s">
        <v>88</v>
      </c>
      <c r="C199" s="89">
        <v>1031</v>
      </c>
      <c r="D199" s="132"/>
      <c r="E199" s="135"/>
      <c r="F199" s="264">
        <f>F200</f>
        <v>73.099999999999994</v>
      </c>
      <c r="G199" s="90">
        <f t="shared" si="31"/>
        <v>73.099999999999994</v>
      </c>
      <c r="H199" s="90">
        <f t="shared" si="32"/>
        <v>100</v>
      </c>
    </row>
    <row r="200" spans="1:14" ht="23.25" customHeight="1">
      <c r="A200" s="66"/>
      <c r="B200" s="101" t="s">
        <v>369</v>
      </c>
      <c r="C200" s="4"/>
      <c r="D200" s="130"/>
      <c r="E200" s="134"/>
      <c r="F200" s="262">
        <v>73.099999999999994</v>
      </c>
      <c r="G200" s="11">
        <f t="shared" si="31"/>
        <v>73.099999999999994</v>
      </c>
      <c r="H200" s="11">
        <f t="shared" si="32"/>
        <v>100</v>
      </c>
    </row>
    <row r="201" spans="1:14" ht="28.5" customHeight="1">
      <c r="A201" s="66" t="s">
        <v>414</v>
      </c>
      <c r="B201" s="172" t="s">
        <v>249</v>
      </c>
      <c r="C201" s="7"/>
      <c r="D201" s="129">
        <f>D203</f>
        <v>0</v>
      </c>
      <c r="E201" s="129">
        <f>E203</f>
        <v>0</v>
      </c>
      <c r="F201" s="261">
        <f>F203</f>
        <v>115</v>
      </c>
      <c r="G201" s="36">
        <f t="shared" si="31"/>
        <v>115</v>
      </c>
      <c r="H201" s="174">
        <f t="shared" si="32"/>
        <v>100</v>
      </c>
    </row>
    <row r="202" spans="1:14" ht="21.75" customHeight="1">
      <c r="A202" s="66"/>
      <c r="B202" s="100" t="s">
        <v>71</v>
      </c>
      <c r="C202" s="7"/>
      <c r="D202" s="129"/>
      <c r="E202" s="129"/>
      <c r="F202" s="261"/>
      <c r="G202" s="36"/>
      <c r="H202" s="36"/>
    </row>
    <row r="203" spans="1:14" ht="31.5" customHeight="1">
      <c r="A203" s="79" t="s">
        <v>415</v>
      </c>
      <c r="B203" s="97" t="s">
        <v>10</v>
      </c>
      <c r="C203" s="80">
        <v>1030</v>
      </c>
      <c r="D203" s="131">
        <f>D204</f>
        <v>0</v>
      </c>
      <c r="E203" s="131">
        <f>E204</f>
        <v>0</v>
      </c>
      <c r="F203" s="263">
        <f>F204</f>
        <v>115</v>
      </c>
      <c r="G203" s="36">
        <f t="shared" ref="G203:G210" si="36">F203-E203</f>
        <v>115</v>
      </c>
      <c r="H203" s="110">
        <f t="shared" ref="H203:H210" si="37">G203/F203*100</f>
        <v>100</v>
      </c>
    </row>
    <row r="204" spans="1:14" ht="26.25" customHeight="1">
      <c r="A204" s="82" t="s">
        <v>416</v>
      </c>
      <c r="B204" s="124" t="s">
        <v>250</v>
      </c>
      <c r="C204" s="89">
        <v>1035</v>
      </c>
      <c r="D204" s="132"/>
      <c r="E204" s="132"/>
      <c r="F204" s="264">
        <v>115</v>
      </c>
      <c r="G204" s="90">
        <f t="shared" si="36"/>
        <v>115</v>
      </c>
      <c r="H204" s="108">
        <f t="shared" si="37"/>
        <v>100</v>
      </c>
    </row>
    <row r="205" spans="1:14" ht="42" customHeight="1">
      <c r="A205" s="66" t="s">
        <v>324</v>
      </c>
      <c r="B205" s="172" t="s">
        <v>198</v>
      </c>
      <c r="C205" s="4"/>
      <c r="D205" s="129">
        <f t="shared" ref="D205" si="38">SUM(D207,D209)</f>
        <v>16149.900000000001</v>
      </c>
      <c r="E205" s="129">
        <f t="shared" ref="E205:F205" si="39">SUM(E207,E209)</f>
        <v>19920</v>
      </c>
      <c r="F205" s="261">
        <f t="shared" si="39"/>
        <v>20890.100000000002</v>
      </c>
      <c r="G205" s="36">
        <f t="shared" si="36"/>
        <v>970.10000000000218</v>
      </c>
      <c r="H205" s="36">
        <f t="shared" si="37"/>
        <v>4.64382650154859</v>
      </c>
    </row>
    <row r="206" spans="1:14" ht="23.25" customHeight="1">
      <c r="A206" s="66"/>
      <c r="B206" s="77" t="s">
        <v>71</v>
      </c>
      <c r="C206" s="4"/>
      <c r="D206" s="129"/>
      <c r="E206" s="129"/>
      <c r="F206" s="261"/>
      <c r="G206" s="36"/>
      <c r="H206" s="36"/>
    </row>
    <row r="207" spans="1:14" ht="38.25" customHeight="1">
      <c r="A207" s="79" t="s">
        <v>325</v>
      </c>
      <c r="B207" s="12" t="s">
        <v>75</v>
      </c>
      <c r="C207" s="80">
        <v>1010</v>
      </c>
      <c r="D207" s="131">
        <f>D208</f>
        <v>14357.2</v>
      </c>
      <c r="E207" s="131">
        <f>E208</f>
        <v>18000</v>
      </c>
      <c r="F207" s="263">
        <f>F208</f>
        <v>18300.7</v>
      </c>
      <c r="G207" s="81">
        <f t="shared" si="36"/>
        <v>300.70000000000073</v>
      </c>
      <c r="H207" s="81">
        <f t="shared" si="37"/>
        <v>1.643106547836972</v>
      </c>
    </row>
    <row r="208" spans="1:14" ht="24.75" customHeight="1">
      <c r="A208" s="82" t="s">
        <v>331</v>
      </c>
      <c r="B208" s="77" t="s">
        <v>206</v>
      </c>
      <c r="C208" s="89">
        <v>1014</v>
      </c>
      <c r="D208" s="146">
        <v>14357.2</v>
      </c>
      <c r="E208" s="132">
        <v>18000</v>
      </c>
      <c r="F208" s="264">
        <v>18300.7</v>
      </c>
      <c r="G208" s="90">
        <f t="shared" si="36"/>
        <v>300.70000000000073</v>
      </c>
      <c r="H208" s="90">
        <f t="shared" si="37"/>
        <v>1.643106547836972</v>
      </c>
    </row>
    <row r="209" spans="1:8" ht="26.25" customHeight="1">
      <c r="A209" s="79" t="s">
        <v>417</v>
      </c>
      <c r="B209" s="97" t="s">
        <v>10</v>
      </c>
      <c r="C209" s="80">
        <v>1030</v>
      </c>
      <c r="D209" s="131">
        <f t="shared" ref="D209:F209" si="40">SUM(D210)</f>
        <v>1792.7</v>
      </c>
      <c r="E209" s="131">
        <f t="shared" si="40"/>
        <v>1920</v>
      </c>
      <c r="F209" s="263">
        <f t="shared" si="40"/>
        <v>2589.4</v>
      </c>
      <c r="G209" s="81">
        <f t="shared" si="36"/>
        <v>669.40000000000009</v>
      </c>
      <c r="H209" s="81">
        <f t="shared" si="37"/>
        <v>25.851548621302236</v>
      </c>
    </row>
    <row r="210" spans="1:8" ht="24" customHeight="1">
      <c r="A210" s="82" t="s">
        <v>418</v>
      </c>
      <c r="B210" s="77" t="s">
        <v>314</v>
      </c>
      <c r="C210" s="89">
        <v>1034</v>
      </c>
      <c r="D210" s="146">
        <v>1792.7</v>
      </c>
      <c r="E210" s="132">
        <v>1920</v>
      </c>
      <c r="F210" s="264">
        <v>2589.4</v>
      </c>
      <c r="G210" s="90">
        <f t="shared" si="36"/>
        <v>669.40000000000009</v>
      </c>
      <c r="H210" s="90">
        <f t="shared" si="37"/>
        <v>25.851548621302236</v>
      </c>
    </row>
    <row r="211" spans="1:8" ht="128.25" customHeight="1">
      <c r="B211" s="319" t="s">
        <v>128</v>
      </c>
      <c r="C211" s="319"/>
      <c r="D211" s="320"/>
      <c r="E211" s="320"/>
      <c r="F211" s="276"/>
      <c r="G211" s="321" t="s">
        <v>237</v>
      </c>
      <c r="H211" s="321"/>
    </row>
    <row r="212" spans="1:8">
      <c r="B212" s="196" t="s">
        <v>53</v>
      </c>
      <c r="C212" s="72"/>
      <c r="D212" s="316" t="s">
        <v>9</v>
      </c>
      <c r="E212" s="316"/>
      <c r="F212" s="277"/>
      <c r="G212" s="317" t="s">
        <v>14</v>
      </c>
      <c r="H212" s="317"/>
    </row>
    <row r="213" spans="1:8">
      <c r="B213" s="72"/>
    </row>
    <row r="214" spans="1:8">
      <c r="B214" s="72"/>
      <c r="C214" s="67"/>
      <c r="D214" s="67"/>
      <c r="E214" s="67"/>
      <c r="F214" s="279"/>
    </row>
    <row r="215" spans="1:8">
      <c r="B215" s="72"/>
      <c r="C215" s="67"/>
      <c r="D215" s="67"/>
      <c r="E215" s="67"/>
      <c r="F215" s="279"/>
    </row>
    <row r="216" spans="1:8">
      <c r="B216" s="72"/>
      <c r="C216" s="67"/>
      <c r="D216" s="67"/>
      <c r="E216" s="67"/>
      <c r="F216" s="279"/>
    </row>
    <row r="217" spans="1:8">
      <c r="B217" s="72"/>
      <c r="C217" s="67"/>
      <c r="D217" s="67"/>
      <c r="E217" s="67"/>
      <c r="F217" s="279"/>
    </row>
    <row r="218" spans="1:8">
      <c r="B218" s="72"/>
      <c r="C218" s="67"/>
      <c r="D218" s="67"/>
      <c r="E218" s="67"/>
      <c r="F218" s="279"/>
    </row>
    <row r="219" spans="1:8">
      <c r="B219" s="72"/>
      <c r="C219" s="67"/>
      <c r="D219" s="67"/>
      <c r="E219" s="67"/>
      <c r="F219" s="279"/>
    </row>
    <row r="220" spans="1:8">
      <c r="B220" s="72"/>
      <c r="C220" s="67"/>
      <c r="D220" s="67"/>
      <c r="E220" s="67"/>
      <c r="F220" s="279"/>
    </row>
    <row r="221" spans="1:8">
      <c r="B221" s="72"/>
      <c r="C221" s="67"/>
      <c r="D221" s="67"/>
      <c r="E221" s="67"/>
      <c r="F221" s="279"/>
    </row>
    <row r="222" spans="1:8">
      <c r="B222" s="72"/>
      <c r="C222" s="67"/>
      <c r="D222" s="67"/>
      <c r="E222" s="67"/>
      <c r="F222" s="279"/>
    </row>
    <row r="223" spans="1:8">
      <c r="B223" s="72"/>
      <c r="C223" s="67"/>
      <c r="D223" s="67"/>
      <c r="E223" s="67"/>
      <c r="F223" s="279"/>
    </row>
    <row r="224" spans="1:8">
      <c r="B224" s="72"/>
      <c r="C224" s="67"/>
      <c r="D224" s="67"/>
      <c r="E224" s="67"/>
      <c r="F224" s="279"/>
    </row>
    <row r="225" spans="2:6">
      <c r="B225" s="72"/>
      <c r="C225" s="67"/>
      <c r="D225" s="67"/>
      <c r="E225" s="67"/>
      <c r="F225" s="279"/>
    </row>
    <row r="226" spans="2:6">
      <c r="B226" s="72"/>
      <c r="C226" s="67"/>
      <c r="D226" s="67"/>
      <c r="E226" s="67"/>
      <c r="F226" s="279"/>
    </row>
    <row r="227" spans="2:6">
      <c r="B227" s="72"/>
      <c r="C227" s="67"/>
      <c r="D227" s="67"/>
      <c r="E227" s="67"/>
      <c r="F227" s="279"/>
    </row>
    <row r="228" spans="2:6">
      <c r="B228" s="72"/>
      <c r="C228" s="67"/>
      <c r="D228" s="67"/>
      <c r="E228" s="67"/>
      <c r="F228" s="279"/>
    </row>
    <row r="229" spans="2:6">
      <c r="B229" s="72"/>
      <c r="C229" s="67"/>
      <c r="D229" s="67"/>
      <c r="E229" s="67"/>
      <c r="F229" s="279"/>
    </row>
    <row r="230" spans="2:6">
      <c r="B230" s="72"/>
      <c r="C230" s="67"/>
      <c r="D230" s="67"/>
      <c r="E230" s="67"/>
      <c r="F230" s="279"/>
    </row>
    <row r="231" spans="2:6">
      <c r="B231" s="72"/>
      <c r="C231" s="67"/>
      <c r="D231" s="67"/>
      <c r="E231" s="67"/>
      <c r="F231" s="279"/>
    </row>
    <row r="232" spans="2:6">
      <c r="B232" s="72"/>
      <c r="C232" s="67"/>
      <c r="D232" s="67"/>
      <c r="E232" s="67"/>
      <c r="F232" s="279"/>
    </row>
    <row r="233" spans="2:6">
      <c r="B233" s="72"/>
      <c r="C233" s="67"/>
      <c r="D233" s="67"/>
      <c r="E233" s="67"/>
      <c r="F233" s="279"/>
    </row>
    <row r="234" spans="2:6">
      <c r="B234" s="72"/>
      <c r="C234" s="67"/>
      <c r="D234" s="67"/>
      <c r="E234" s="67"/>
      <c r="F234" s="279"/>
    </row>
    <row r="235" spans="2:6">
      <c r="B235" s="72"/>
      <c r="C235" s="67"/>
      <c r="D235" s="67"/>
      <c r="E235" s="67"/>
      <c r="F235" s="279"/>
    </row>
    <row r="236" spans="2:6">
      <c r="B236" s="72"/>
      <c r="C236" s="67"/>
      <c r="D236" s="67"/>
      <c r="E236" s="67"/>
      <c r="F236" s="279"/>
    </row>
    <row r="237" spans="2:6">
      <c r="B237" s="72"/>
      <c r="C237" s="67"/>
      <c r="D237" s="67"/>
      <c r="E237" s="67"/>
      <c r="F237" s="279"/>
    </row>
    <row r="238" spans="2:6">
      <c r="B238" s="72"/>
      <c r="C238" s="67"/>
      <c r="D238" s="67"/>
      <c r="E238" s="67"/>
      <c r="F238" s="279"/>
    </row>
    <row r="239" spans="2:6">
      <c r="B239" s="72"/>
      <c r="C239" s="67"/>
      <c r="D239" s="67"/>
      <c r="E239" s="67"/>
      <c r="F239" s="279"/>
    </row>
    <row r="240" spans="2:6">
      <c r="B240" s="72"/>
      <c r="C240" s="67"/>
      <c r="D240" s="67"/>
      <c r="E240" s="67"/>
      <c r="F240" s="279"/>
    </row>
    <row r="241" spans="2:6">
      <c r="B241" s="72"/>
      <c r="C241" s="67"/>
      <c r="D241" s="67"/>
      <c r="E241" s="67"/>
      <c r="F241" s="279"/>
    </row>
    <row r="242" spans="2:6">
      <c r="B242" s="72"/>
      <c r="C242" s="67"/>
      <c r="D242" s="67"/>
      <c r="E242" s="67"/>
      <c r="F242" s="279"/>
    </row>
    <row r="243" spans="2:6">
      <c r="B243" s="72"/>
      <c r="C243" s="67"/>
      <c r="D243" s="67"/>
      <c r="E243" s="67"/>
      <c r="F243" s="279"/>
    </row>
    <row r="244" spans="2:6">
      <c r="B244" s="72"/>
      <c r="C244" s="67"/>
      <c r="D244" s="67"/>
      <c r="E244" s="67"/>
      <c r="F244" s="279"/>
    </row>
    <row r="245" spans="2:6">
      <c r="B245" s="72"/>
      <c r="C245" s="67"/>
      <c r="D245" s="67"/>
      <c r="E245" s="67"/>
      <c r="F245" s="279"/>
    </row>
    <row r="246" spans="2:6">
      <c r="B246" s="72"/>
      <c r="C246" s="67"/>
      <c r="D246" s="67"/>
      <c r="E246" s="67"/>
      <c r="F246" s="279"/>
    </row>
  </sheetData>
  <mergeCells count="7">
    <mergeCell ref="D212:E212"/>
    <mergeCell ref="G212:H212"/>
    <mergeCell ref="B1:H1"/>
    <mergeCell ref="A5:B5"/>
    <mergeCell ref="B211:C211"/>
    <mergeCell ref="D211:E211"/>
    <mergeCell ref="G211:H211"/>
  </mergeCells>
  <pageMargins left="0.39370078740157483" right="0.39370078740157483" top="0.78740157480314965" bottom="0.39370078740157483" header="0.39370078740157483" footer="0.19685039370078741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G96"/>
  <sheetViews>
    <sheetView view="pageBreakPreview" zoomScaleSheetLayoutView="100" workbookViewId="0">
      <selection activeCell="A60" sqref="A60"/>
    </sheetView>
  </sheetViews>
  <sheetFormatPr defaultRowHeight="18.75"/>
  <cols>
    <col min="1" max="1" width="76.42578125" style="202" customWidth="1"/>
    <col min="2" max="2" width="10.140625" style="199" customWidth="1"/>
    <col min="3" max="3" width="14.7109375" style="128" customWidth="1"/>
    <col min="4" max="4" width="14.28515625" style="18" customWidth="1"/>
    <col min="5" max="5" width="14.140625" style="115" customWidth="1"/>
    <col min="6" max="6" width="14.28515625" style="199" customWidth="1"/>
    <col min="7" max="7" width="14" style="199" customWidth="1"/>
    <col min="8" max="16384" width="9.140625" style="202"/>
  </cols>
  <sheetData>
    <row r="1" spans="1:7" ht="19.5" customHeight="1">
      <c r="A1" s="308" t="s">
        <v>84</v>
      </c>
      <c r="B1" s="308"/>
      <c r="C1" s="308"/>
      <c r="D1" s="308"/>
      <c r="E1" s="308"/>
      <c r="F1" s="308"/>
    </row>
    <row r="2" spans="1:7" ht="15" customHeight="1">
      <c r="A2" s="198"/>
      <c r="B2" s="62"/>
      <c r="C2" s="126"/>
      <c r="D2" s="197"/>
      <c r="E2" s="281"/>
      <c r="F2" s="62"/>
      <c r="G2" s="15" t="s">
        <v>58</v>
      </c>
    </row>
    <row r="3" spans="1:7" ht="63" customHeight="1">
      <c r="A3" s="26" t="s">
        <v>20</v>
      </c>
      <c r="B3" s="5" t="s">
        <v>4</v>
      </c>
      <c r="C3" s="5" t="s">
        <v>335</v>
      </c>
      <c r="D3" s="200" t="s">
        <v>337</v>
      </c>
      <c r="E3" s="282" t="s">
        <v>338</v>
      </c>
      <c r="F3" s="70" t="s">
        <v>94</v>
      </c>
      <c r="G3" s="5" t="s">
        <v>95</v>
      </c>
    </row>
    <row r="4" spans="1:7" ht="12" customHeight="1">
      <c r="A4" s="26">
        <v>1</v>
      </c>
      <c r="B4" s="5">
        <v>2</v>
      </c>
      <c r="C4" s="154">
        <v>3</v>
      </c>
      <c r="D4" s="4">
        <v>4</v>
      </c>
      <c r="E4" s="283">
        <v>5</v>
      </c>
      <c r="F4" s="5">
        <v>6</v>
      </c>
      <c r="G4" s="26">
        <v>7</v>
      </c>
    </row>
    <row r="5" spans="1:7" ht="18.75" customHeight="1">
      <c r="A5" s="20" t="s">
        <v>207</v>
      </c>
      <c r="B5" s="7">
        <v>4000</v>
      </c>
      <c r="C5" s="27">
        <f>C6+C66</f>
        <v>159633.5</v>
      </c>
      <c r="D5" s="27">
        <f>D6+D72</f>
        <v>19826.599999999999</v>
      </c>
      <c r="E5" s="284">
        <f>E6+E66+E72</f>
        <v>16604.299999999996</v>
      </c>
      <c r="F5" s="28">
        <f t="shared" ref="F5" si="0">E5-D5</f>
        <v>-3222.3000000000029</v>
      </c>
      <c r="G5" s="119">
        <f>(E5/D5)*100</f>
        <v>83.747591619339659</v>
      </c>
    </row>
    <row r="6" spans="1:7" ht="15.75" customHeight="1">
      <c r="A6" s="12" t="s">
        <v>148</v>
      </c>
      <c r="B6" s="238">
        <v>4020</v>
      </c>
      <c r="C6" s="239">
        <f>SUM(C7:C49)</f>
        <v>34429.4</v>
      </c>
      <c r="D6" s="239">
        <f>SUM(D7:D9)</f>
        <v>15968.9</v>
      </c>
      <c r="E6" s="285">
        <f>SUM(E7:E65)</f>
        <v>12459.099999999999</v>
      </c>
      <c r="F6" s="123">
        <f t="shared" ref="F6:F32" si="1">E6-D6</f>
        <v>-3509.8000000000011</v>
      </c>
      <c r="G6" s="120">
        <f t="shared" ref="G6:G32" si="2">(E6/D6)*100</f>
        <v>78.021028373901771</v>
      </c>
    </row>
    <row r="7" spans="1:7" ht="15.75" customHeight="1">
      <c r="A7" s="16" t="s">
        <v>255</v>
      </c>
      <c r="B7" s="230"/>
      <c r="C7" s="240"/>
      <c r="D7" s="240">
        <v>238</v>
      </c>
      <c r="E7" s="283">
        <v>237.9</v>
      </c>
      <c r="F7" s="123">
        <f t="shared" si="1"/>
        <v>-9.9999999999994316E-2</v>
      </c>
      <c r="G7" s="153">
        <f t="shared" si="2"/>
        <v>99.957983193277315</v>
      </c>
    </row>
    <row r="8" spans="1:7" ht="15.75" customHeight="1">
      <c r="A8" s="209" t="s">
        <v>315</v>
      </c>
      <c r="B8" s="230"/>
      <c r="C8" s="240"/>
      <c r="D8" s="240">
        <v>12730.9</v>
      </c>
      <c r="E8" s="285"/>
      <c r="F8" s="123">
        <f t="shared" si="1"/>
        <v>-12730.9</v>
      </c>
      <c r="G8" s="153">
        <f t="shared" si="2"/>
        <v>0</v>
      </c>
    </row>
    <row r="9" spans="1:7" ht="15.75" customHeight="1">
      <c r="A9" s="209" t="s">
        <v>323</v>
      </c>
      <c r="B9" s="230"/>
      <c r="C9" s="240"/>
      <c r="D9" s="240">
        <v>3000</v>
      </c>
      <c r="E9" s="283">
        <v>1648.2</v>
      </c>
      <c r="F9" s="123">
        <f t="shared" si="1"/>
        <v>-1351.8</v>
      </c>
      <c r="G9" s="153">
        <f t="shared" si="2"/>
        <v>54.94</v>
      </c>
    </row>
    <row r="10" spans="1:7" ht="15.75" customHeight="1">
      <c r="A10" s="8" t="s">
        <v>285</v>
      </c>
      <c r="B10" s="187"/>
      <c r="C10" s="241">
        <v>3200</v>
      </c>
      <c r="D10" s="240"/>
      <c r="E10" s="285"/>
      <c r="F10" s="123">
        <f t="shared" si="1"/>
        <v>0</v>
      </c>
      <c r="G10" s="153" t="e">
        <f t="shared" si="2"/>
        <v>#DIV/0!</v>
      </c>
    </row>
    <row r="11" spans="1:7" ht="36" customHeight="1">
      <c r="A11" s="8" t="s">
        <v>286</v>
      </c>
      <c r="B11" s="187"/>
      <c r="C11" s="241">
        <v>310.8</v>
      </c>
      <c r="D11" s="240"/>
      <c r="E11" s="285"/>
      <c r="F11" s="123">
        <f t="shared" si="1"/>
        <v>0</v>
      </c>
      <c r="G11" s="153" t="e">
        <f t="shared" si="2"/>
        <v>#DIV/0!</v>
      </c>
    </row>
    <row r="12" spans="1:7" ht="15.75" customHeight="1">
      <c r="A12" s="8" t="s">
        <v>287</v>
      </c>
      <c r="B12" s="187"/>
      <c r="C12" s="241">
        <v>2400</v>
      </c>
      <c r="D12" s="240"/>
      <c r="E12" s="285"/>
      <c r="F12" s="123">
        <f t="shared" si="1"/>
        <v>0</v>
      </c>
      <c r="G12" s="153" t="e">
        <f t="shared" si="2"/>
        <v>#DIV/0!</v>
      </c>
    </row>
    <row r="13" spans="1:7" ht="24.75" customHeight="1">
      <c r="A13" s="8" t="s">
        <v>288</v>
      </c>
      <c r="B13" s="187"/>
      <c r="C13" s="241">
        <v>55</v>
      </c>
      <c r="D13" s="240"/>
      <c r="E13" s="285"/>
      <c r="F13" s="123">
        <f t="shared" si="1"/>
        <v>0</v>
      </c>
      <c r="G13" s="153" t="e">
        <f t="shared" si="2"/>
        <v>#DIV/0!</v>
      </c>
    </row>
    <row r="14" spans="1:7" ht="33" customHeight="1">
      <c r="A14" s="8" t="s">
        <v>289</v>
      </c>
      <c r="B14" s="187"/>
      <c r="C14" s="241">
        <v>74.5</v>
      </c>
      <c r="D14" s="240"/>
      <c r="E14" s="285"/>
      <c r="F14" s="123">
        <f t="shared" si="1"/>
        <v>0</v>
      </c>
      <c r="G14" s="153" t="e">
        <f t="shared" si="2"/>
        <v>#DIV/0!</v>
      </c>
    </row>
    <row r="15" spans="1:7" ht="32.25" customHeight="1">
      <c r="A15" s="8" t="s">
        <v>290</v>
      </c>
      <c r="B15" s="187"/>
      <c r="C15" s="240">
        <v>998.6</v>
      </c>
      <c r="D15" s="240"/>
      <c r="E15" s="285"/>
      <c r="F15" s="123">
        <f t="shared" si="1"/>
        <v>0</v>
      </c>
      <c r="G15" s="153" t="e">
        <f t="shared" si="2"/>
        <v>#DIV/0!</v>
      </c>
    </row>
    <row r="16" spans="1:7" ht="35.25" customHeight="1">
      <c r="A16" s="8" t="s">
        <v>291</v>
      </c>
      <c r="B16" s="187"/>
      <c r="C16" s="240">
        <v>109.5</v>
      </c>
      <c r="D16" s="240"/>
      <c r="E16" s="285"/>
      <c r="F16" s="123">
        <f t="shared" si="1"/>
        <v>0</v>
      </c>
      <c r="G16" s="153" t="e">
        <f t="shared" si="2"/>
        <v>#DIV/0!</v>
      </c>
    </row>
    <row r="17" spans="1:7" ht="35.25" customHeight="1">
      <c r="A17" s="16" t="s">
        <v>292</v>
      </c>
      <c r="B17" s="187"/>
      <c r="C17" s="240">
        <v>22.5</v>
      </c>
      <c r="D17" s="240"/>
      <c r="E17" s="285"/>
      <c r="F17" s="123">
        <f t="shared" si="1"/>
        <v>0</v>
      </c>
      <c r="G17" s="153" t="e">
        <f t="shared" si="2"/>
        <v>#DIV/0!</v>
      </c>
    </row>
    <row r="18" spans="1:7" ht="15.75" customHeight="1">
      <c r="A18" s="8" t="s">
        <v>293</v>
      </c>
      <c r="B18" s="187"/>
      <c r="C18" s="241">
        <v>42.9</v>
      </c>
      <c r="D18" s="240"/>
      <c r="E18" s="285"/>
      <c r="F18" s="123">
        <f t="shared" si="1"/>
        <v>0</v>
      </c>
      <c r="G18" s="153" t="e">
        <f t="shared" si="2"/>
        <v>#DIV/0!</v>
      </c>
    </row>
    <row r="19" spans="1:7" ht="15.75" customHeight="1">
      <c r="A19" s="177" t="s">
        <v>294</v>
      </c>
      <c r="B19" s="187"/>
      <c r="C19" s="242">
        <v>3567.6</v>
      </c>
      <c r="D19" s="240"/>
      <c r="E19" s="285"/>
      <c r="F19" s="123">
        <f t="shared" si="1"/>
        <v>0</v>
      </c>
      <c r="G19" s="153" t="e">
        <f t="shared" si="2"/>
        <v>#DIV/0!</v>
      </c>
    </row>
    <row r="20" spans="1:7" ht="15.75" customHeight="1">
      <c r="A20" s="177" t="s">
        <v>295</v>
      </c>
      <c r="B20" s="187"/>
      <c r="C20" s="242">
        <v>1045.5</v>
      </c>
      <c r="D20" s="240"/>
      <c r="E20" s="285"/>
      <c r="F20" s="123">
        <f t="shared" si="1"/>
        <v>0</v>
      </c>
      <c r="G20" s="153" t="e">
        <f t="shared" si="2"/>
        <v>#DIV/0!</v>
      </c>
    </row>
    <row r="21" spans="1:7" ht="15.75" customHeight="1">
      <c r="A21" s="177" t="s">
        <v>296</v>
      </c>
      <c r="B21" s="187"/>
      <c r="C21" s="242">
        <v>106.5</v>
      </c>
      <c r="D21" s="240"/>
      <c r="E21" s="285"/>
      <c r="F21" s="123">
        <f t="shared" si="1"/>
        <v>0</v>
      </c>
      <c r="G21" s="153" t="e">
        <f t="shared" si="2"/>
        <v>#DIV/0!</v>
      </c>
    </row>
    <row r="22" spans="1:7" ht="15.75" customHeight="1">
      <c r="A22" s="177" t="s">
        <v>297</v>
      </c>
      <c r="B22" s="187"/>
      <c r="C22" s="242">
        <v>1213.7</v>
      </c>
      <c r="D22" s="240"/>
      <c r="E22" s="285"/>
      <c r="F22" s="123">
        <f t="shared" si="1"/>
        <v>0</v>
      </c>
      <c r="G22" s="153" t="e">
        <f t="shared" si="2"/>
        <v>#DIV/0!</v>
      </c>
    </row>
    <row r="23" spans="1:7" ht="15.75" customHeight="1">
      <c r="A23" s="177" t="s">
        <v>298</v>
      </c>
      <c r="B23" s="187"/>
      <c r="C23" s="242">
        <v>378</v>
      </c>
      <c r="D23" s="240"/>
      <c r="E23" s="285"/>
      <c r="F23" s="123">
        <f t="shared" si="1"/>
        <v>0</v>
      </c>
      <c r="G23" s="153" t="e">
        <f t="shared" si="2"/>
        <v>#DIV/0!</v>
      </c>
    </row>
    <row r="24" spans="1:7" ht="15.75" customHeight="1">
      <c r="A24" s="177" t="s">
        <v>299</v>
      </c>
      <c r="B24" s="187"/>
      <c r="C24" s="242">
        <v>432</v>
      </c>
      <c r="D24" s="240"/>
      <c r="E24" s="285"/>
      <c r="F24" s="123">
        <f t="shared" si="1"/>
        <v>0</v>
      </c>
      <c r="G24" s="153" t="e">
        <f t="shared" si="2"/>
        <v>#DIV/0!</v>
      </c>
    </row>
    <row r="25" spans="1:7" ht="15.75" customHeight="1">
      <c r="A25" s="177" t="s">
        <v>300</v>
      </c>
      <c r="B25" s="187"/>
      <c r="C25" s="242">
        <v>34</v>
      </c>
      <c r="D25" s="240"/>
      <c r="E25" s="285"/>
      <c r="F25" s="123">
        <f t="shared" si="1"/>
        <v>0</v>
      </c>
      <c r="G25" s="153" t="e">
        <f t="shared" si="2"/>
        <v>#DIV/0!</v>
      </c>
    </row>
    <row r="26" spans="1:7" ht="15.75" customHeight="1">
      <c r="A26" s="177" t="s">
        <v>301</v>
      </c>
      <c r="B26" s="187"/>
      <c r="C26" s="242">
        <v>151</v>
      </c>
      <c r="D26" s="240"/>
      <c r="E26" s="285"/>
      <c r="F26" s="123">
        <f t="shared" si="1"/>
        <v>0</v>
      </c>
      <c r="G26" s="153" t="e">
        <f t="shared" si="2"/>
        <v>#DIV/0!</v>
      </c>
    </row>
    <row r="27" spans="1:7" ht="15.75" customHeight="1">
      <c r="A27" s="177" t="s">
        <v>302</v>
      </c>
      <c r="B27" s="187"/>
      <c r="C27" s="242">
        <v>294.8</v>
      </c>
      <c r="D27" s="240"/>
      <c r="E27" s="285"/>
      <c r="F27" s="123">
        <f t="shared" si="1"/>
        <v>0</v>
      </c>
      <c r="G27" s="153" t="e">
        <f t="shared" si="2"/>
        <v>#DIV/0!</v>
      </c>
    </row>
    <row r="28" spans="1:7" ht="15.75" customHeight="1">
      <c r="A28" s="177" t="s">
        <v>303</v>
      </c>
      <c r="B28" s="187"/>
      <c r="C28" s="242">
        <v>50</v>
      </c>
      <c r="D28" s="240"/>
      <c r="E28" s="285"/>
      <c r="F28" s="123">
        <f t="shared" si="1"/>
        <v>0</v>
      </c>
      <c r="G28" s="153" t="e">
        <f t="shared" si="2"/>
        <v>#DIV/0!</v>
      </c>
    </row>
    <row r="29" spans="1:7" ht="18" customHeight="1">
      <c r="A29" s="177" t="s">
        <v>401</v>
      </c>
      <c r="B29" s="187"/>
      <c r="C29" s="242">
        <v>34.1</v>
      </c>
      <c r="D29" s="240"/>
      <c r="E29" s="285"/>
      <c r="F29" s="123">
        <f t="shared" si="1"/>
        <v>0</v>
      </c>
      <c r="G29" s="153" t="e">
        <f t="shared" si="2"/>
        <v>#DIV/0!</v>
      </c>
    </row>
    <row r="30" spans="1:7" ht="15.75" customHeight="1">
      <c r="A30" s="177" t="s">
        <v>304</v>
      </c>
      <c r="B30" s="187"/>
      <c r="C30" s="242">
        <v>53.9</v>
      </c>
      <c r="D30" s="240"/>
      <c r="E30" s="285"/>
      <c r="F30" s="123">
        <f t="shared" si="1"/>
        <v>0</v>
      </c>
      <c r="G30" s="153" t="e">
        <f t="shared" si="2"/>
        <v>#DIV/0!</v>
      </c>
    </row>
    <row r="31" spans="1:7" ht="15.75" customHeight="1">
      <c r="A31" s="177" t="s">
        <v>305</v>
      </c>
      <c r="B31" s="187"/>
      <c r="C31" s="242">
        <v>50</v>
      </c>
      <c r="D31" s="240"/>
      <c r="E31" s="285"/>
      <c r="F31" s="123">
        <f t="shared" si="1"/>
        <v>0</v>
      </c>
      <c r="G31" s="153" t="e">
        <f t="shared" si="2"/>
        <v>#DIV/0!</v>
      </c>
    </row>
    <row r="32" spans="1:7" ht="15.75" customHeight="1">
      <c r="A32" s="177" t="s">
        <v>306</v>
      </c>
      <c r="B32" s="187"/>
      <c r="C32" s="242">
        <v>50</v>
      </c>
      <c r="D32" s="240"/>
      <c r="E32" s="285"/>
      <c r="F32" s="123">
        <f t="shared" si="1"/>
        <v>0</v>
      </c>
      <c r="G32" s="153" t="e">
        <f t="shared" si="2"/>
        <v>#DIV/0!</v>
      </c>
    </row>
    <row r="33" spans="1:7" ht="15.75" customHeight="1">
      <c r="A33" s="177" t="s">
        <v>307</v>
      </c>
      <c r="B33" s="187"/>
      <c r="C33" s="242">
        <v>3600</v>
      </c>
      <c r="D33" s="240"/>
      <c r="E33" s="283"/>
      <c r="F33" s="6"/>
      <c r="G33" s="65"/>
    </row>
    <row r="34" spans="1:7" ht="15.75" customHeight="1">
      <c r="A34" s="177" t="s">
        <v>308</v>
      </c>
      <c r="B34" s="187"/>
      <c r="C34" s="242">
        <v>141.69999999999999</v>
      </c>
      <c r="D34" s="240"/>
      <c r="E34" s="283"/>
      <c r="F34" s="6"/>
      <c r="G34" s="65"/>
    </row>
    <row r="35" spans="1:7" ht="15.75" customHeight="1">
      <c r="A35" s="177" t="s">
        <v>309</v>
      </c>
      <c r="B35" s="187"/>
      <c r="C35" s="242">
        <v>2192.9</v>
      </c>
      <c r="D35" s="240"/>
      <c r="E35" s="283"/>
      <c r="F35" s="6"/>
      <c r="G35" s="65"/>
    </row>
    <row r="36" spans="1:7" ht="15.75" customHeight="1">
      <c r="A36" s="177" t="s">
        <v>310</v>
      </c>
      <c r="B36" s="187"/>
      <c r="C36" s="242">
        <v>2.1</v>
      </c>
      <c r="D36" s="240"/>
      <c r="E36" s="283"/>
      <c r="F36" s="6"/>
      <c r="G36" s="65"/>
    </row>
    <row r="37" spans="1:7" ht="15.75" customHeight="1">
      <c r="A37" s="177" t="s">
        <v>301</v>
      </c>
      <c r="B37" s="187"/>
      <c r="C37" s="242">
        <v>123</v>
      </c>
      <c r="D37" s="240"/>
      <c r="E37" s="283"/>
      <c r="F37" s="6"/>
      <c r="G37" s="21"/>
    </row>
    <row r="38" spans="1:7" ht="15.75" customHeight="1">
      <c r="A38" s="177" t="s">
        <v>311</v>
      </c>
      <c r="B38" s="187"/>
      <c r="C38" s="242">
        <v>148.4</v>
      </c>
      <c r="D38" s="240"/>
      <c r="E38" s="283"/>
      <c r="F38" s="6"/>
      <c r="G38" s="21"/>
    </row>
    <row r="39" spans="1:7" ht="15.75" customHeight="1">
      <c r="A39" s="177" t="s">
        <v>345</v>
      </c>
      <c r="B39" s="187"/>
      <c r="C39" s="242">
        <v>31.3</v>
      </c>
      <c r="D39" s="240"/>
      <c r="E39" s="283"/>
      <c r="F39" s="6"/>
      <c r="G39" s="65"/>
    </row>
    <row r="40" spans="1:7" ht="15.75" customHeight="1">
      <c r="A40" s="177" t="s">
        <v>346</v>
      </c>
      <c r="B40" s="187"/>
      <c r="C40" s="243">
        <v>2539.9</v>
      </c>
      <c r="D40" s="240"/>
      <c r="E40" s="285"/>
      <c r="F40" s="117"/>
      <c r="G40" s="122"/>
    </row>
    <row r="41" spans="1:7" ht="15.75" customHeight="1">
      <c r="A41" s="177" t="s">
        <v>347</v>
      </c>
      <c r="B41" s="187"/>
      <c r="C41" s="243">
        <v>341.1</v>
      </c>
      <c r="D41" s="240"/>
      <c r="E41" s="282"/>
      <c r="F41" s="127"/>
      <c r="G41" s="65"/>
    </row>
    <row r="42" spans="1:7" ht="15.75" customHeight="1">
      <c r="A42" s="177" t="s">
        <v>348</v>
      </c>
      <c r="B42" s="187"/>
      <c r="C42" s="243">
        <v>679.4</v>
      </c>
      <c r="D42" s="240"/>
      <c r="E42" s="282"/>
      <c r="F42" s="127"/>
      <c r="G42" s="65"/>
    </row>
    <row r="43" spans="1:7" ht="15.75" customHeight="1">
      <c r="A43" s="177" t="s">
        <v>349</v>
      </c>
      <c r="B43" s="187"/>
      <c r="C43" s="243">
        <v>68.7</v>
      </c>
      <c r="D43" s="240"/>
      <c r="E43" s="286"/>
      <c r="F43" s="117"/>
      <c r="G43" s="121"/>
    </row>
    <row r="44" spans="1:7" ht="15.75" customHeight="1">
      <c r="A44" s="177" t="s">
        <v>350</v>
      </c>
      <c r="B44" s="187"/>
      <c r="C44" s="243">
        <v>8722.4</v>
      </c>
      <c r="D44" s="240"/>
      <c r="E44" s="283"/>
      <c r="F44" s="6"/>
      <c r="G44" s="21"/>
    </row>
    <row r="45" spans="1:7" ht="15.75" customHeight="1">
      <c r="A45" s="177" t="s">
        <v>351</v>
      </c>
      <c r="B45" s="187"/>
      <c r="C45" s="243">
        <v>50</v>
      </c>
      <c r="D45" s="240"/>
      <c r="E45" s="283"/>
      <c r="F45" s="6"/>
      <c r="G45" s="65"/>
    </row>
    <row r="46" spans="1:7" ht="15.75" customHeight="1">
      <c r="A46" s="177" t="s">
        <v>352</v>
      </c>
      <c r="B46" s="187"/>
      <c r="C46" s="243">
        <v>96</v>
      </c>
      <c r="D46" s="240"/>
      <c r="E46" s="283"/>
      <c r="F46" s="6"/>
      <c r="G46" s="65"/>
    </row>
    <row r="47" spans="1:7" ht="15.75" customHeight="1">
      <c r="A47" s="177" t="s">
        <v>353</v>
      </c>
      <c r="B47" s="187"/>
      <c r="C47" s="243">
        <v>42</v>
      </c>
      <c r="D47" s="240"/>
      <c r="E47" s="287"/>
      <c r="F47" s="185"/>
      <c r="G47" s="186"/>
    </row>
    <row r="48" spans="1:7" ht="15.75" customHeight="1">
      <c r="A48" s="177" t="s">
        <v>354</v>
      </c>
      <c r="B48" s="187"/>
      <c r="C48" s="243">
        <v>67.599999999999994</v>
      </c>
      <c r="D48" s="240"/>
      <c r="E48" s="189"/>
      <c r="F48" s="188"/>
      <c r="G48" s="188"/>
    </row>
    <row r="49" spans="1:7" ht="15.75" customHeight="1">
      <c r="A49" s="177" t="s">
        <v>355</v>
      </c>
      <c r="B49" s="187"/>
      <c r="C49" s="243">
        <v>908</v>
      </c>
      <c r="D49" s="240"/>
      <c r="E49" s="288"/>
      <c r="F49" s="26"/>
      <c r="G49" s="26"/>
    </row>
    <row r="50" spans="1:7" ht="15.75" customHeight="1">
      <c r="A50" s="8" t="s">
        <v>370</v>
      </c>
      <c r="B50" s="187"/>
      <c r="C50" s="243"/>
      <c r="D50" s="11"/>
      <c r="E50" s="283">
        <v>96</v>
      </c>
      <c r="F50" s="26"/>
      <c r="G50" s="26"/>
    </row>
    <row r="51" spans="1:7" ht="15.75" customHeight="1">
      <c r="A51" s="8" t="s">
        <v>371</v>
      </c>
      <c r="B51" s="187"/>
      <c r="C51" s="243"/>
      <c r="D51" s="11"/>
      <c r="E51" s="283">
        <v>24.8</v>
      </c>
      <c r="F51" s="26"/>
      <c r="G51" s="26"/>
    </row>
    <row r="52" spans="1:7" ht="15.75" customHeight="1">
      <c r="A52" s="8" t="s">
        <v>372</v>
      </c>
      <c r="B52" s="187"/>
      <c r="C52" s="243"/>
      <c r="D52" s="11"/>
      <c r="E52" s="283">
        <v>26.9</v>
      </c>
      <c r="F52" s="26"/>
      <c r="G52" s="26"/>
    </row>
    <row r="53" spans="1:7" ht="15.75" customHeight="1">
      <c r="A53" s="209" t="s">
        <v>373</v>
      </c>
      <c r="B53" s="187"/>
      <c r="C53" s="243"/>
      <c r="D53" s="11"/>
      <c r="E53" s="283">
        <v>51.1</v>
      </c>
      <c r="F53" s="26"/>
      <c r="G53" s="26"/>
    </row>
    <row r="54" spans="1:7" ht="15.75" customHeight="1">
      <c r="A54" s="209" t="s">
        <v>374</v>
      </c>
      <c r="B54" s="187"/>
      <c r="C54" s="243"/>
      <c r="D54" s="11"/>
      <c r="E54" s="283">
        <v>167</v>
      </c>
      <c r="F54" s="26"/>
      <c r="G54" s="26"/>
    </row>
    <row r="55" spans="1:7" ht="15.75" customHeight="1">
      <c r="A55" s="209" t="s">
        <v>375</v>
      </c>
      <c r="B55" s="187"/>
      <c r="C55" s="243"/>
      <c r="D55" s="11"/>
      <c r="E55" s="283">
        <v>4204</v>
      </c>
      <c r="F55" s="26"/>
      <c r="G55" s="26"/>
    </row>
    <row r="56" spans="1:7" ht="15.75" customHeight="1">
      <c r="A56" s="244" t="s">
        <v>376</v>
      </c>
      <c r="B56" s="187"/>
      <c r="C56" s="243"/>
      <c r="D56" s="11"/>
      <c r="E56" s="283">
        <v>33.9</v>
      </c>
      <c r="F56" s="26"/>
      <c r="G56" s="26"/>
    </row>
    <row r="57" spans="1:7" ht="15.75" customHeight="1">
      <c r="A57" s="244" t="s">
        <v>393</v>
      </c>
      <c r="B57" s="187"/>
      <c r="C57" s="243"/>
      <c r="D57" s="11"/>
      <c r="E57" s="283">
        <v>81.8</v>
      </c>
      <c r="F57" s="26"/>
      <c r="G57" s="26"/>
    </row>
    <row r="58" spans="1:7" ht="15.75" customHeight="1">
      <c r="A58" s="244" t="s">
        <v>394</v>
      </c>
      <c r="B58" s="187"/>
      <c r="C58" s="243"/>
      <c r="D58" s="11"/>
      <c r="E58" s="283">
        <v>110.3</v>
      </c>
      <c r="F58" s="26"/>
      <c r="G58" s="26"/>
    </row>
    <row r="59" spans="1:7" ht="34.5" customHeight="1">
      <c r="A59" s="244" t="s">
        <v>395</v>
      </c>
      <c r="B59" s="187"/>
      <c r="C59" s="243"/>
      <c r="D59" s="11"/>
      <c r="E59" s="283">
        <v>363.9</v>
      </c>
      <c r="F59" s="26"/>
      <c r="G59" s="26"/>
    </row>
    <row r="60" spans="1:7" ht="15.75" customHeight="1">
      <c r="A60" s="244" t="s">
        <v>420</v>
      </c>
      <c r="B60" s="187"/>
      <c r="C60" s="243"/>
      <c r="D60" s="11"/>
      <c r="E60" s="283">
        <v>2612.4</v>
      </c>
      <c r="F60" s="26"/>
      <c r="G60" s="26"/>
    </row>
    <row r="61" spans="1:7" ht="15.75" customHeight="1">
      <c r="A61" s="244" t="s">
        <v>396</v>
      </c>
      <c r="B61" s="187"/>
      <c r="C61" s="243"/>
      <c r="D61" s="11"/>
      <c r="E61" s="283">
        <v>160.5</v>
      </c>
      <c r="F61" s="26"/>
      <c r="G61" s="26"/>
    </row>
    <row r="62" spans="1:7" ht="15.75" customHeight="1">
      <c r="A62" s="244" t="s">
        <v>397</v>
      </c>
      <c r="B62" s="187"/>
      <c r="C62" s="243"/>
      <c r="D62" s="11"/>
      <c r="E62" s="283">
        <v>648.4</v>
      </c>
      <c r="F62" s="26"/>
      <c r="G62" s="26"/>
    </row>
    <row r="63" spans="1:7" ht="15.75" customHeight="1">
      <c r="A63" s="244" t="s">
        <v>398</v>
      </c>
      <c r="B63" s="187"/>
      <c r="C63" s="243"/>
      <c r="D63" s="11"/>
      <c r="E63" s="283">
        <v>140</v>
      </c>
      <c r="F63" s="26"/>
      <c r="G63" s="26"/>
    </row>
    <row r="64" spans="1:7" ht="15.75" customHeight="1">
      <c r="A64" s="244" t="s">
        <v>399</v>
      </c>
      <c r="B64" s="187"/>
      <c r="C64" s="243"/>
      <c r="D64" s="11"/>
      <c r="E64" s="283">
        <v>31.1</v>
      </c>
      <c r="F64" s="26"/>
      <c r="G64" s="26"/>
    </row>
    <row r="65" spans="1:7" ht="74.25" customHeight="1">
      <c r="A65" s="244" t="s">
        <v>400</v>
      </c>
      <c r="B65" s="187"/>
      <c r="C65" s="243"/>
      <c r="D65" s="11"/>
      <c r="E65" s="283">
        <v>1820.9</v>
      </c>
      <c r="F65" s="26"/>
      <c r="G65" s="26"/>
    </row>
    <row r="66" spans="1:7" ht="39">
      <c r="A66" s="245" t="s">
        <v>56</v>
      </c>
      <c r="B66" s="246">
        <v>4050</v>
      </c>
      <c r="C66" s="247">
        <f>C67</f>
        <v>125204.1</v>
      </c>
      <c r="D66" s="248"/>
      <c r="E66" s="289">
        <f>E67+E68+E69+E70+E71</f>
        <v>1204.3</v>
      </c>
      <c r="F66" s="26"/>
      <c r="G66" s="26"/>
    </row>
    <row r="67" spans="1:7" ht="37.5">
      <c r="A67" s="177" t="s">
        <v>240</v>
      </c>
      <c r="B67" s="187"/>
      <c r="C67" s="243">
        <v>125204.1</v>
      </c>
      <c r="D67" s="240"/>
      <c r="E67" s="288"/>
      <c r="F67" s="26"/>
      <c r="G67" s="26"/>
    </row>
    <row r="68" spans="1:7" ht="37.5">
      <c r="A68" s="250" t="s">
        <v>377</v>
      </c>
      <c r="B68" s="230"/>
      <c r="C68" s="127"/>
      <c r="D68" s="11"/>
      <c r="E68" s="282">
        <v>65.099999999999994</v>
      </c>
      <c r="F68" s="26"/>
      <c r="G68" s="26"/>
    </row>
    <row r="69" spans="1:7">
      <c r="A69" s="250" t="s">
        <v>381</v>
      </c>
      <c r="B69" s="230"/>
      <c r="C69" s="127"/>
      <c r="D69" s="11"/>
      <c r="E69" s="282">
        <v>16.3</v>
      </c>
      <c r="F69" s="26"/>
      <c r="G69" s="26"/>
    </row>
    <row r="70" spans="1:7">
      <c r="A70" s="250" t="s">
        <v>358</v>
      </c>
      <c r="B70" s="230"/>
      <c r="C70" s="127"/>
      <c r="D70" s="11"/>
      <c r="E70" s="189">
        <v>1107.0999999999999</v>
      </c>
      <c r="F70" s="26"/>
      <c r="G70" s="26"/>
    </row>
    <row r="71" spans="1:7" ht="37.5">
      <c r="A71" s="250" t="s">
        <v>382</v>
      </c>
      <c r="B71" s="230"/>
      <c r="C71" s="127"/>
      <c r="D71" s="11"/>
      <c r="E71" s="189">
        <v>15.8</v>
      </c>
      <c r="F71" s="26"/>
      <c r="G71" s="26"/>
    </row>
    <row r="72" spans="1:7" ht="19.5">
      <c r="A72" s="12" t="s">
        <v>316</v>
      </c>
      <c r="B72" s="238">
        <v>4060</v>
      </c>
      <c r="C72" s="239">
        <f>C73+C74</f>
        <v>0</v>
      </c>
      <c r="D72" s="249">
        <f>D73+D74+D75+D76</f>
        <v>3857.7</v>
      </c>
      <c r="E72" s="289">
        <f>E73+E74+E75+E76</f>
        <v>2940.8999999999996</v>
      </c>
      <c r="F72" s="26"/>
      <c r="G72" s="26"/>
    </row>
    <row r="73" spans="1:7" ht="38.25" customHeight="1">
      <c r="A73" s="101" t="s">
        <v>378</v>
      </c>
      <c r="B73" s="251"/>
      <c r="C73" s="240"/>
      <c r="D73" s="120">
        <v>2511.9</v>
      </c>
      <c r="E73" s="189">
        <v>2877.2</v>
      </c>
      <c r="F73" s="26"/>
      <c r="G73" s="26"/>
    </row>
    <row r="74" spans="1:7" ht="19.5">
      <c r="A74" s="8" t="s">
        <v>358</v>
      </c>
      <c r="B74" s="187"/>
      <c r="C74" s="240"/>
      <c r="D74" s="120"/>
      <c r="E74" s="288"/>
      <c r="F74" s="26"/>
      <c r="G74" s="26"/>
    </row>
    <row r="75" spans="1:7" ht="56.25">
      <c r="A75" s="8" t="s">
        <v>384</v>
      </c>
      <c r="B75" s="26"/>
      <c r="C75" s="189"/>
      <c r="D75" s="120">
        <v>1345.8</v>
      </c>
      <c r="E75" s="288">
        <v>19.600000000000001</v>
      </c>
      <c r="F75" s="26"/>
      <c r="G75" s="26"/>
    </row>
    <row r="76" spans="1:7">
      <c r="A76" s="250" t="s">
        <v>383</v>
      </c>
      <c r="B76" s="26"/>
      <c r="C76" s="189"/>
      <c r="D76" s="187"/>
      <c r="E76" s="288">
        <v>44.1</v>
      </c>
      <c r="F76" s="26"/>
      <c r="G76" s="26"/>
    </row>
    <row r="77" spans="1:7">
      <c r="A77" s="3"/>
    </row>
    <row r="78" spans="1:7">
      <c r="A78" s="3"/>
    </row>
    <row r="79" spans="1:7">
      <c r="A79" s="3"/>
    </row>
    <row r="80" spans="1:7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</sheetData>
  <mergeCells count="1">
    <mergeCell ref="A1:F1"/>
  </mergeCells>
  <printOptions horizontalCentered="1"/>
  <pageMargins left="0.39370078740157483" right="0.39370078740157483" top="0.59055118110236227" bottom="0.39370078740157483" header="0.19685039370078741" footer="0.19685039370078741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N42"/>
  <sheetViews>
    <sheetView tabSelected="1" view="pageBreakPreview" zoomScale="90" zoomScaleNormal="60" zoomScaleSheetLayoutView="90" workbookViewId="0">
      <selection activeCell="B16" sqref="B16"/>
    </sheetView>
  </sheetViews>
  <sheetFormatPr defaultColWidth="13.28515625" defaultRowHeight="18.75"/>
  <cols>
    <col min="1" max="1" width="7.85546875" style="158" customWidth="1"/>
    <col min="2" max="2" width="36.42578125" style="206" customWidth="1"/>
    <col min="3" max="10" width="13.28515625" style="158"/>
    <col min="11" max="11" width="14.85546875" style="158" customWidth="1"/>
    <col min="12" max="12" width="13.28515625" style="158"/>
    <col min="13" max="14" width="15" style="158" customWidth="1"/>
    <col min="15" max="16384" width="13.28515625" style="158"/>
  </cols>
  <sheetData>
    <row r="1" spans="1:14" s="156" customFormat="1" ht="32.25" customHeight="1">
      <c r="A1" s="328" t="s">
        <v>134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</row>
    <row r="2" spans="1:14">
      <c r="A2" s="157"/>
      <c r="B2" s="205"/>
      <c r="C2" s="15"/>
      <c r="D2" s="15"/>
      <c r="E2" s="15"/>
      <c r="F2" s="15"/>
      <c r="G2" s="199"/>
      <c r="H2" s="199"/>
      <c r="I2" s="199"/>
      <c r="J2" s="199"/>
      <c r="N2" s="159" t="s">
        <v>45</v>
      </c>
    </row>
    <row r="3" spans="1:14" ht="56.25" customHeight="1">
      <c r="A3" s="329" t="s">
        <v>6</v>
      </c>
      <c r="B3" s="335" t="s">
        <v>17</v>
      </c>
      <c r="C3" s="331" t="s">
        <v>103</v>
      </c>
      <c r="D3" s="332"/>
      <c r="E3" s="331" t="s">
        <v>201</v>
      </c>
      <c r="F3" s="332"/>
      <c r="G3" s="323" t="s">
        <v>391</v>
      </c>
      <c r="H3" s="324"/>
      <c r="I3" s="325" t="s">
        <v>392</v>
      </c>
      <c r="J3" s="326"/>
      <c r="K3" s="331" t="s">
        <v>104</v>
      </c>
      <c r="L3" s="332"/>
      <c r="M3" s="332"/>
      <c r="N3" s="333"/>
    </row>
    <row r="4" spans="1:14" ht="63.75" customHeight="1">
      <c r="A4" s="330"/>
      <c r="B4" s="336"/>
      <c r="C4" s="200" t="s">
        <v>337</v>
      </c>
      <c r="D4" s="5" t="s">
        <v>356</v>
      </c>
      <c r="E4" s="200" t="s">
        <v>337</v>
      </c>
      <c r="F4" s="5" t="s">
        <v>356</v>
      </c>
      <c r="G4" s="200" t="s">
        <v>337</v>
      </c>
      <c r="H4" s="5" t="s">
        <v>356</v>
      </c>
      <c r="I4" s="200" t="s">
        <v>337</v>
      </c>
      <c r="J4" s="5" t="s">
        <v>356</v>
      </c>
      <c r="K4" s="200" t="s">
        <v>337</v>
      </c>
      <c r="L4" s="5" t="s">
        <v>356</v>
      </c>
      <c r="M4" s="5" t="s">
        <v>91</v>
      </c>
      <c r="N4" s="5" t="s">
        <v>93</v>
      </c>
    </row>
    <row r="5" spans="1:14" ht="16.5" customHeight="1">
      <c r="A5" s="5">
        <v>1</v>
      </c>
      <c r="B5" s="201">
        <v>2</v>
      </c>
      <c r="C5" s="26">
        <v>3</v>
      </c>
      <c r="D5" s="5">
        <v>4</v>
      </c>
      <c r="E5" s="26">
        <v>5</v>
      </c>
      <c r="F5" s="5">
        <v>6</v>
      </c>
      <c r="G5" s="26">
        <v>7</v>
      </c>
      <c r="H5" s="5">
        <v>8</v>
      </c>
      <c r="I5" s="26">
        <v>9</v>
      </c>
      <c r="J5" s="26">
        <v>10</v>
      </c>
      <c r="K5" s="26">
        <v>11</v>
      </c>
      <c r="L5" s="26">
        <v>12</v>
      </c>
      <c r="M5" s="26">
        <v>13</v>
      </c>
      <c r="N5" s="26">
        <v>14</v>
      </c>
    </row>
    <row r="6" spans="1:14" ht="57.75" customHeight="1">
      <c r="A6" s="116">
        <v>1</v>
      </c>
      <c r="B6" s="103" t="s">
        <v>251</v>
      </c>
      <c r="C6" s="119"/>
      <c r="D6" s="119"/>
      <c r="E6" s="119">
        <f>E7+E8</f>
        <v>15730.9</v>
      </c>
      <c r="F6" s="119">
        <f>F7+F8+F9+F10+F11+F12+F13+F14+F15+F16+F17</f>
        <v>3000</v>
      </c>
      <c r="G6" s="119">
        <f>G7+G9</f>
        <v>0</v>
      </c>
      <c r="H6" s="119">
        <f>H7+H8+H9+H10+H11+H12+H13+H14+H15+H16+H17+H18+H19+H20+H21+H22+H23+H24+H25+H26</f>
        <v>6221.3000000000011</v>
      </c>
      <c r="I6" s="119">
        <f>I7+I8+I9</f>
        <v>238</v>
      </c>
      <c r="J6" s="119">
        <f>J7+J8+J9+J10+J11+J12+J13+J14+J15+J16+J17</f>
        <v>3237.8</v>
      </c>
      <c r="K6" s="119">
        <f>C6+E6+G6+I6</f>
        <v>15968.9</v>
      </c>
      <c r="L6" s="119">
        <f>D6+F6+H6+J6</f>
        <v>12459.100000000002</v>
      </c>
      <c r="M6" s="119">
        <f>K6-L6</f>
        <v>3509.7999999999975</v>
      </c>
      <c r="N6" s="152">
        <f t="shared" ref="N6" si="0">(L6/K6)*100</f>
        <v>78.021028373901785</v>
      </c>
    </row>
    <row r="7" spans="1:14" ht="20.25" customHeight="1">
      <c r="A7" s="116"/>
      <c r="B7" s="101" t="s">
        <v>315</v>
      </c>
      <c r="C7" s="119"/>
      <c r="D7" s="119"/>
      <c r="E7" s="161">
        <v>12730.9</v>
      </c>
      <c r="F7" s="119"/>
      <c r="G7" s="161"/>
      <c r="H7" s="11"/>
      <c r="I7" s="119"/>
      <c r="J7" s="119"/>
      <c r="K7" s="119">
        <f>C7+E7+G7+I7</f>
        <v>12730.9</v>
      </c>
      <c r="L7" s="119">
        <f>D7+F7+H7+J7</f>
        <v>0</v>
      </c>
      <c r="M7" s="119">
        <f t="shared" ref="M7:M33" si="1">K7-L7</f>
        <v>12730.9</v>
      </c>
      <c r="N7" s="160">
        <f t="shared" ref="N7:N33" si="2">(L7/K7)*100</f>
        <v>0</v>
      </c>
    </row>
    <row r="8" spans="1:14" ht="38.25" customHeight="1">
      <c r="A8" s="116"/>
      <c r="B8" s="101" t="s">
        <v>323</v>
      </c>
      <c r="C8" s="119"/>
      <c r="D8" s="119"/>
      <c r="E8" s="161">
        <v>3000</v>
      </c>
      <c r="F8" s="119"/>
      <c r="G8" s="161"/>
      <c r="H8" s="11"/>
      <c r="I8" s="119"/>
      <c r="J8" s="119"/>
      <c r="K8" s="119"/>
      <c r="L8" s="119"/>
      <c r="M8" s="119"/>
      <c r="N8" s="160"/>
    </row>
    <row r="9" spans="1:14" ht="39" customHeight="1">
      <c r="A9" s="116"/>
      <c r="B9" s="8" t="s">
        <v>255</v>
      </c>
      <c r="C9" s="119"/>
      <c r="D9" s="119"/>
      <c r="E9" s="161"/>
      <c r="F9" s="119"/>
      <c r="G9" s="161"/>
      <c r="H9" s="11"/>
      <c r="I9" s="119">
        <v>238</v>
      </c>
      <c r="J9" s="161">
        <v>237.9</v>
      </c>
      <c r="K9" s="119">
        <f t="shared" ref="K9:K17" si="3">C9+E9+G9+I9</f>
        <v>238</v>
      </c>
      <c r="L9" s="119">
        <f t="shared" ref="L9:L18" si="4">D9+F9+H9+J9</f>
        <v>237.9</v>
      </c>
      <c r="M9" s="119">
        <f t="shared" si="1"/>
        <v>9.9999999999994316E-2</v>
      </c>
      <c r="N9" s="152">
        <f t="shared" ref="N9" si="5">(L9/K9)*100</f>
        <v>99.957983193277315</v>
      </c>
    </row>
    <row r="10" spans="1:14" ht="39" customHeight="1">
      <c r="A10" s="116"/>
      <c r="B10" s="8" t="s">
        <v>380</v>
      </c>
      <c r="C10" s="119"/>
      <c r="D10" s="119"/>
      <c r="E10" s="161"/>
      <c r="F10" s="119"/>
      <c r="G10" s="161"/>
      <c r="H10" s="11"/>
      <c r="I10" s="161"/>
      <c r="J10" s="161">
        <v>96</v>
      </c>
      <c r="K10" s="119">
        <f t="shared" si="3"/>
        <v>0</v>
      </c>
      <c r="L10" s="119">
        <f t="shared" si="4"/>
        <v>96</v>
      </c>
      <c r="M10" s="119"/>
      <c r="N10" s="152"/>
    </row>
    <row r="11" spans="1:14" ht="54" customHeight="1">
      <c r="A11" s="116"/>
      <c r="B11" s="8" t="s">
        <v>371</v>
      </c>
      <c r="C11" s="119"/>
      <c r="D11" s="119"/>
      <c r="E11" s="161"/>
      <c r="F11" s="119"/>
      <c r="G11" s="161"/>
      <c r="H11" s="11"/>
      <c r="I11" s="161"/>
      <c r="J11" s="161">
        <v>24.8</v>
      </c>
      <c r="K11" s="119">
        <f t="shared" si="3"/>
        <v>0</v>
      </c>
      <c r="L11" s="119">
        <f t="shared" si="4"/>
        <v>24.8</v>
      </c>
      <c r="M11" s="119"/>
      <c r="N11" s="152"/>
    </row>
    <row r="12" spans="1:14" ht="39" customHeight="1">
      <c r="A12" s="116"/>
      <c r="B12" s="8" t="s">
        <v>372</v>
      </c>
      <c r="C12" s="119"/>
      <c r="D12" s="119"/>
      <c r="E12" s="161"/>
      <c r="F12" s="119"/>
      <c r="G12" s="161"/>
      <c r="H12" s="11"/>
      <c r="I12" s="161"/>
      <c r="J12" s="161">
        <v>26.9</v>
      </c>
      <c r="K12" s="119">
        <f t="shared" si="3"/>
        <v>0</v>
      </c>
      <c r="L12" s="119">
        <f t="shared" si="4"/>
        <v>26.9</v>
      </c>
      <c r="M12" s="119"/>
      <c r="N12" s="152"/>
    </row>
    <row r="13" spans="1:14" ht="39" customHeight="1">
      <c r="A13" s="116"/>
      <c r="B13" s="101" t="s">
        <v>323</v>
      </c>
      <c r="C13" s="119"/>
      <c r="D13" s="119"/>
      <c r="E13" s="161"/>
      <c r="F13" s="119"/>
      <c r="G13" s="161"/>
      <c r="H13" s="11"/>
      <c r="I13" s="161"/>
      <c r="J13" s="161">
        <v>1648.2</v>
      </c>
      <c r="K13" s="119">
        <f t="shared" si="3"/>
        <v>0</v>
      </c>
      <c r="L13" s="119">
        <f t="shared" si="4"/>
        <v>1648.2</v>
      </c>
      <c r="M13" s="119"/>
      <c r="N13" s="152"/>
    </row>
    <row r="14" spans="1:14" ht="39" customHeight="1">
      <c r="A14" s="116"/>
      <c r="B14" s="101" t="s">
        <v>373</v>
      </c>
      <c r="C14" s="119"/>
      <c r="D14" s="119"/>
      <c r="E14" s="161"/>
      <c r="F14" s="119"/>
      <c r="G14" s="161"/>
      <c r="H14" s="161">
        <v>51.1</v>
      </c>
      <c r="I14" s="161"/>
      <c r="J14" s="119"/>
      <c r="K14" s="119">
        <f t="shared" si="3"/>
        <v>0</v>
      </c>
      <c r="L14" s="119">
        <f t="shared" si="4"/>
        <v>51.1</v>
      </c>
      <c r="M14" s="119"/>
      <c r="N14" s="152"/>
    </row>
    <row r="15" spans="1:14" ht="18" customHeight="1">
      <c r="A15" s="116"/>
      <c r="B15" s="101" t="s">
        <v>374</v>
      </c>
      <c r="C15" s="119"/>
      <c r="D15" s="119"/>
      <c r="E15" s="161"/>
      <c r="F15" s="119"/>
      <c r="G15" s="161"/>
      <c r="H15" s="161">
        <v>167</v>
      </c>
      <c r="I15" s="161"/>
      <c r="J15" s="119"/>
      <c r="K15" s="119">
        <f t="shared" si="3"/>
        <v>0</v>
      </c>
      <c r="L15" s="119">
        <f t="shared" si="4"/>
        <v>167</v>
      </c>
      <c r="M15" s="119"/>
      <c r="N15" s="152"/>
    </row>
    <row r="16" spans="1:14" ht="56.25" customHeight="1">
      <c r="A16" s="116"/>
      <c r="B16" s="101" t="s">
        <v>375</v>
      </c>
      <c r="C16" s="119"/>
      <c r="D16" s="119"/>
      <c r="E16" s="161"/>
      <c r="F16" s="161">
        <v>3000</v>
      </c>
      <c r="G16" s="161"/>
      <c r="H16" s="11"/>
      <c r="I16" s="161"/>
      <c r="J16" s="161">
        <v>1204</v>
      </c>
      <c r="K16" s="119">
        <f t="shared" si="3"/>
        <v>0</v>
      </c>
      <c r="L16" s="119">
        <f t="shared" si="4"/>
        <v>4204</v>
      </c>
      <c r="M16" s="119"/>
      <c r="N16" s="152"/>
    </row>
    <row r="17" spans="1:14" ht="20.25" customHeight="1">
      <c r="A17" s="116"/>
      <c r="B17" s="244" t="s">
        <v>376</v>
      </c>
      <c r="C17" s="119"/>
      <c r="D17" s="119"/>
      <c r="E17" s="161"/>
      <c r="F17" s="119"/>
      <c r="G17" s="161"/>
      <c r="H17" s="11">
        <v>33.9</v>
      </c>
      <c r="I17" s="161"/>
      <c r="J17" s="119"/>
      <c r="K17" s="119">
        <f t="shared" si="3"/>
        <v>0</v>
      </c>
      <c r="L17" s="119">
        <f t="shared" si="4"/>
        <v>33.9</v>
      </c>
      <c r="M17" s="119"/>
      <c r="N17" s="152"/>
    </row>
    <row r="18" spans="1:14" ht="20.25" customHeight="1">
      <c r="A18" s="116"/>
      <c r="B18" s="244" t="s">
        <v>393</v>
      </c>
      <c r="C18" s="119"/>
      <c r="D18" s="119"/>
      <c r="E18" s="161"/>
      <c r="F18" s="119"/>
      <c r="G18" s="161"/>
      <c r="H18" s="11">
        <v>81.8</v>
      </c>
      <c r="I18" s="161"/>
      <c r="J18" s="119"/>
      <c r="K18" s="119"/>
      <c r="L18" s="119">
        <f t="shared" si="4"/>
        <v>81.8</v>
      </c>
      <c r="M18" s="119"/>
      <c r="N18" s="152"/>
    </row>
    <row r="19" spans="1:14" ht="20.25" customHeight="1">
      <c r="A19" s="116"/>
      <c r="B19" s="244" t="s">
        <v>394</v>
      </c>
      <c r="C19" s="119"/>
      <c r="D19" s="119"/>
      <c r="E19" s="161"/>
      <c r="F19" s="119"/>
      <c r="G19" s="161"/>
      <c r="H19" s="11">
        <v>110.3</v>
      </c>
      <c r="I19" s="161"/>
      <c r="J19" s="119"/>
      <c r="K19" s="119"/>
      <c r="L19" s="119"/>
      <c r="M19" s="119"/>
      <c r="N19" s="152"/>
    </row>
    <row r="20" spans="1:14" ht="74.25" customHeight="1">
      <c r="A20" s="116"/>
      <c r="B20" s="244" t="s">
        <v>395</v>
      </c>
      <c r="C20" s="119"/>
      <c r="D20" s="119"/>
      <c r="E20" s="161"/>
      <c r="F20" s="119"/>
      <c r="G20" s="161"/>
      <c r="H20" s="11">
        <v>363.9</v>
      </c>
      <c r="I20" s="161"/>
      <c r="J20" s="119"/>
      <c r="K20" s="119"/>
      <c r="L20" s="119"/>
      <c r="M20" s="119"/>
      <c r="N20" s="152"/>
    </row>
    <row r="21" spans="1:14" ht="98.25" customHeight="1">
      <c r="A21" s="116"/>
      <c r="B21" s="244" t="s">
        <v>421</v>
      </c>
      <c r="C21" s="119"/>
      <c r="D21" s="119"/>
      <c r="E21" s="161"/>
      <c r="F21" s="119"/>
      <c r="G21" s="161"/>
      <c r="H21" s="11">
        <v>2612.4</v>
      </c>
      <c r="I21" s="161"/>
      <c r="J21" s="119"/>
      <c r="K21" s="119"/>
      <c r="L21" s="119"/>
      <c r="M21" s="119"/>
      <c r="N21" s="152"/>
    </row>
    <row r="22" spans="1:14" ht="20.25" customHeight="1">
      <c r="A22" s="116"/>
      <c r="B22" s="244" t="s">
        <v>396</v>
      </c>
      <c r="C22" s="119"/>
      <c r="D22" s="119"/>
      <c r="E22" s="161"/>
      <c r="F22" s="119"/>
      <c r="G22" s="161"/>
      <c r="H22" s="11">
        <v>160.5</v>
      </c>
      <c r="I22" s="161"/>
      <c r="J22" s="119"/>
      <c r="K22" s="119"/>
      <c r="L22" s="119"/>
      <c r="M22" s="119"/>
      <c r="N22" s="152"/>
    </row>
    <row r="23" spans="1:14" ht="35.25" customHeight="1">
      <c r="A23" s="116"/>
      <c r="B23" s="244" t="s">
        <v>397</v>
      </c>
      <c r="C23" s="119"/>
      <c r="D23" s="119"/>
      <c r="E23" s="161"/>
      <c r="F23" s="119"/>
      <c r="G23" s="161"/>
      <c r="H23" s="11">
        <v>648.4</v>
      </c>
      <c r="I23" s="161"/>
      <c r="J23" s="119"/>
      <c r="K23" s="119"/>
      <c r="L23" s="119"/>
      <c r="M23" s="119"/>
      <c r="N23" s="152"/>
    </row>
    <row r="24" spans="1:14" ht="20.25" customHeight="1">
      <c r="A24" s="116"/>
      <c r="B24" s="244" t="s">
        <v>398</v>
      </c>
      <c r="C24" s="119"/>
      <c r="D24" s="119"/>
      <c r="E24" s="161"/>
      <c r="F24" s="119"/>
      <c r="G24" s="161"/>
      <c r="H24" s="11">
        <v>140</v>
      </c>
      <c r="I24" s="161"/>
      <c r="J24" s="119"/>
      <c r="K24" s="119"/>
      <c r="L24" s="119"/>
      <c r="M24" s="119"/>
      <c r="N24" s="152"/>
    </row>
    <row r="25" spans="1:14" ht="20.25" customHeight="1">
      <c r="A25" s="116"/>
      <c r="B25" s="244" t="s">
        <v>399</v>
      </c>
      <c r="C25" s="119"/>
      <c r="D25" s="119"/>
      <c r="E25" s="161"/>
      <c r="F25" s="119"/>
      <c r="G25" s="161"/>
      <c r="H25" s="11">
        <v>31.1</v>
      </c>
      <c r="I25" s="161"/>
      <c r="J25" s="119"/>
      <c r="K25" s="119"/>
      <c r="L25" s="119"/>
      <c r="M25" s="119"/>
      <c r="N25" s="152"/>
    </row>
    <row r="26" spans="1:14" ht="135.75" customHeight="1">
      <c r="A26" s="116"/>
      <c r="B26" s="244" t="s">
        <v>419</v>
      </c>
      <c r="C26" s="119"/>
      <c r="D26" s="119"/>
      <c r="E26" s="161"/>
      <c r="F26" s="119"/>
      <c r="G26" s="161"/>
      <c r="H26" s="11">
        <v>1820.9</v>
      </c>
      <c r="I26" s="161"/>
      <c r="J26" s="119"/>
      <c r="K26" s="119"/>
      <c r="L26" s="119"/>
      <c r="M26" s="119"/>
      <c r="N26" s="152"/>
    </row>
    <row r="27" spans="1:14" s="204" customFormat="1" ht="75" customHeight="1">
      <c r="A27" s="102">
        <v>2</v>
      </c>
      <c r="B27" s="252" t="s">
        <v>56</v>
      </c>
      <c r="C27" s="120"/>
      <c r="D27" s="120"/>
      <c r="E27" s="203"/>
      <c r="F27" s="120">
        <f>F28+F29+F30+F31</f>
        <v>1107.0999999999999</v>
      </c>
      <c r="G27" s="203"/>
      <c r="H27" s="120">
        <f>H28+H29+H30+H31</f>
        <v>16.3</v>
      </c>
      <c r="I27" s="203"/>
      <c r="J27" s="120">
        <f>J28+J29+J30+J31</f>
        <v>80.899999999999991</v>
      </c>
      <c r="K27" s="119">
        <f>C27+E27+G27+I27</f>
        <v>0</v>
      </c>
      <c r="L27" s="119">
        <f>D27+F27+H27+J27</f>
        <v>1204.3</v>
      </c>
      <c r="M27" s="120">
        <f>K27-L27</f>
        <v>-1204.3</v>
      </c>
      <c r="N27" s="152"/>
    </row>
    <row r="28" spans="1:14" ht="37.5" customHeight="1">
      <c r="A28" s="116"/>
      <c r="B28" s="250" t="s">
        <v>377</v>
      </c>
      <c r="C28" s="119"/>
      <c r="D28" s="119"/>
      <c r="E28" s="161"/>
      <c r="F28" s="119"/>
      <c r="G28" s="161"/>
      <c r="H28" s="11"/>
      <c r="I28" s="161"/>
      <c r="J28" s="161">
        <v>65.099999999999994</v>
      </c>
      <c r="K28" s="119">
        <f t="shared" ref="K28:K31" si="6">C28+E28+G28+I28</f>
        <v>0</v>
      </c>
      <c r="L28" s="119">
        <f t="shared" ref="L28:L31" si="7">D28+F28+H28+J28</f>
        <v>65.099999999999994</v>
      </c>
      <c r="M28" s="119"/>
      <c r="N28" s="152"/>
    </row>
    <row r="29" spans="1:14" ht="16.5" customHeight="1">
      <c r="A29" s="116"/>
      <c r="B29" s="250" t="s">
        <v>381</v>
      </c>
      <c r="C29" s="119"/>
      <c r="D29" s="119"/>
      <c r="E29" s="161"/>
      <c r="F29" s="119"/>
      <c r="G29" s="161"/>
      <c r="H29" s="11">
        <v>16.3</v>
      </c>
      <c r="I29" s="161"/>
      <c r="J29" s="161"/>
      <c r="K29" s="119">
        <f t="shared" si="6"/>
        <v>0</v>
      </c>
      <c r="L29" s="119">
        <f t="shared" si="7"/>
        <v>16.3</v>
      </c>
      <c r="M29" s="119"/>
      <c r="N29" s="152"/>
    </row>
    <row r="30" spans="1:14" ht="38.25" customHeight="1">
      <c r="A30" s="116"/>
      <c r="B30" s="250" t="s">
        <v>358</v>
      </c>
      <c r="C30" s="119"/>
      <c r="D30" s="119"/>
      <c r="E30" s="161"/>
      <c r="F30" s="161">
        <v>1107.0999999999999</v>
      </c>
      <c r="G30" s="161"/>
      <c r="H30" s="11"/>
      <c r="I30" s="161"/>
      <c r="J30" s="161"/>
      <c r="K30" s="119">
        <f t="shared" si="6"/>
        <v>0</v>
      </c>
      <c r="L30" s="119">
        <f t="shared" si="7"/>
        <v>1107.0999999999999</v>
      </c>
      <c r="M30" s="119"/>
      <c r="N30" s="152"/>
    </row>
    <row r="31" spans="1:14" ht="56.25" customHeight="1">
      <c r="A31" s="116"/>
      <c r="B31" s="250" t="s">
        <v>382</v>
      </c>
      <c r="C31" s="119"/>
      <c r="D31" s="119"/>
      <c r="E31" s="161"/>
      <c r="F31" s="119"/>
      <c r="G31" s="161"/>
      <c r="H31" s="11"/>
      <c r="I31" s="161"/>
      <c r="J31" s="161">
        <v>15.8</v>
      </c>
      <c r="K31" s="119">
        <f t="shared" si="6"/>
        <v>0</v>
      </c>
      <c r="L31" s="119">
        <f t="shared" si="7"/>
        <v>15.8</v>
      </c>
      <c r="M31" s="119"/>
      <c r="N31" s="152"/>
    </row>
    <row r="32" spans="1:14" ht="41.25" customHeight="1">
      <c r="A32" s="102">
        <v>2</v>
      </c>
      <c r="B32" s="172" t="s">
        <v>357</v>
      </c>
      <c r="C32" s="120"/>
      <c r="D32" s="120"/>
      <c r="E32" s="120">
        <f t="shared" ref="E32:F32" si="8">E33+E34+E35</f>
        <v>1345.8</v>
      </c>
      <c r="F32" s="120">
        <f t="shared" si="8"/>
        <v>19.600000000000001</v>
      </c>
      <c r="G32" s="120"/>
      <c r="H32" s="120">
        <f>H33</f>
        <v>0</v>
      </c>
      <c r="I32" s="120">
        <f t="shared" ref="I32" si="9">I33+I34+I35</f>
        <v>2511.9</v>
      </c>
      <c r="J32" s="120">
        <f>J33+J34+J35</f>
        <v>2921.2999999999997</v>
      </c>
      <c r="K32" s="119">
        <f>C32+E32+G32+I32</f>
        <v>3857.7</v>
      </c>
      <c r="L32" s="119">
        <f>D32+F32+H32+J32</f>
        <v>2940.8999999999996</v>
      </c>
      <c r="M32" s="120">
        <f t="shared" si="1"/>
        <v>916.80000000000018</v>
      </c>
      <c r="N32" s="152">
        <f t="shared" si="2"/>
        <v>76.234543899214557</v>
      </c>
    </row>
    <row r="33" spans="1:14" ht="96" customHeight="1">
      <c r="A33" s="116"/>
      <c r="B33" s="101" t="s">
        <v>378</v>
      </c>
      <c r="C33" s="119"/>
      <c r="D33" s="119"/>
      <c r="E33" s="119"/>
      <c r="F33" s="119"/>
      <c r="G33" s="119"/>
      <c r="H33" s="161"/>
      <c r="I33" s="161">
        <v>2511.9</v>
      </c>
      <c r="J33" s="161">
        <v>2877.2</v>
      </c>
      <c r="K33" s="119">
        <f t="shared" ref="K33:K35" si="10">C33+E33+G33+I33</f>
        <v>2511.9</v>
      </c>
      <c r="L33" s="119">
        <f t="shared" ref="L33:L35" si="11">D33+F33+H33+J33</f>
        <v>2877.2</v>
      </c>
      <c r="M33" s="119">
        <f t="shared" si="1"/>
        <v>-365.29999999999973</v>
      </c>
      <c r="N33" s="160">
        <f t="shared" si="2"/>
        <v>114.54277638441019</v>
      </c>
    </row>
    <row r="34" spans="1:14" ht="38.25" customHeight="1">
      <c r="A34" s="116"/>
      <c r="B34" s="250" t="s">
        <v>379</v>
      </c>
      <c r="C34" s="119"/>
      <c r="D34" s="119"/>
      <c r="E34" s="161">
        <v>1345.8</v>
      </c>
      <c r="F34" s="161">
        <v>19.600000000000001</v>
      </c>
      <c r="G34" s="119"/>
      <c r="H34" s="161"/>
      <c r="I34" s="119"/>
      <c r="J34" s="161"/>
      <c r="K34" s="119">
        <f t="shared" si="10"/>
        <v>1345.8</v>
      </c>
      <c r="L34" s="119">
        <f t="shared" si="11"/>
        <v>19.600000000000001</v>
      </c>
      <c r="M34" s="119"/>
      <c r="N34" s="160"/>
    </row>
    <row r="35" spans="1:14" ht="36.75" customHeight="1">
      <c r="A35" s="116"/>
      <c r="B35" s="250" t="s">
        <v>383</v>
      </c>
      <c r="C35" s="119"/>
      <c r="D35" s="119"/>
      <c r="E35" s="161"/>
      <c r="F35" s="161"/>
      <c r="G35" s="119"/>
      <c r="H35" s="161"/>
      <c r="I35" s="119"/>
      <c r="J35" s="161">
        <v>44.1</v>
      </c>
      <c r="K35" s="119">
        <f t="shared" si="10"/>
        <v>0</v>
      </c>
      <c r="L35" s="119">
        <f t="shared" si="11"/>
        <v>44.1</v>
      </c>
      <c r="M35" s="119"/>
      <c r="N35" s="160"/>
    </row>
    <row r="36" spans="1:14" ht="24.75" customHeight="1">
      <c r="A36" s="334" t="s">
        <v>7</v>
      </c>
      <c r="B36" s="334"/>
      <c r="C36" s="162"/>
      <c r="D36" s="162"/>
      <c r="E36" s="119">
        <f>E6+E32</f>
        <v>17076.7</v>
      </c>
      <c r="F36" s="119">
        <f>F6+F32</f>
        <v>3019.6</v>
      </c>
      <c r="G36" s="119">
        <f>G6+G32</f>
        <v>0</v>
      </c>
      <c r="H36" s="119">
        <f>H6+H27+H32</f>
        <v>6237.6000000000013</v>
      </c>
      <c r="I36" s="119">
        <f>I6+I32</f>
        <v>2749.9</v>
      </c>
      <c r="J36" s="119">
        <f>J6+J27+J32</f>
        <v>6240</v>
      </c>
      <c r="K36" s="119">
        <f>C36+E36+G36+I36</f>
        <v>19826.600000000002</v>
      </c>
      <c r="L36" s="119">
        <f>L6+L27+L32</f>
        <v>16604.300000000003</v>
      </c>
      <c r="M36" s="119">
        <f>M6+M27+M32</f>
        <v>3222.2999999999975</v>
      </c>
      <c r="N36" s="119">
        <f>N6+N27+N32</f>
        <v>154.25557227311634</v>
      </c>
    </row>
    <row r="37" spans="1:14" s="163" customFormat="1" ht="132.75" customHeight="1">
      <c r="B37" s="311" t="s">
        <v>128</v>
      </c>
      <c r="C37" s="311"/>
      <c r="D37" s="164"/>
      <c r="E37" s="327"/>
      <c r="F37" s="327"/>
      <c r="G37" s="164"/>
      <c r="H37" s="164"/>
      <c r="I37" s="164"/>
      <c r="J37" s="164"/>
    </row>
    <row r="38" spans="1:14" s="155" customFormat="1" ht="19.5" customHeight="1">
      <c r="B38" s="206" t="s">
        <v>8</v>
      </c>
      <c r="C38" s="165"/>
      <c r="D38" s="165"/>
      <c r="E38" s="322" t="s">
        <v>241</v>
      </c>
      <c r="F38" s="322"/>
      <c r="G38" s="202"/>
      <c r="H38" s="202"/>
      <c r="I38" s="202"/>
      <c r="J38" s="202"/>
      <c r="K38" s="202"/>
    </row>
    <row r="39" spans="1:14" ht="20.100000000000001" customHeight="1">
      <c r="B39" s="253"/>
      <c r="C39" s="166"/>
      <c r="D39" s="166"/>
      <c r="E39" s="166"/>
      <c r="F39" s="166"/>
      <c r="G39" s="166"/>
      <c r="H39" s="166"/>
      <c r="I39" s="166"/>
      <c r="J39" s="166"/>
    </row>
    <row r="42" spans="1:14" ht="19.5">
      <c r="B42" s="207"/>
    </row>
  </sheetData>
  <mergeCells count="12">
    <mergeCell ref="A1:M1"/>
    <mergeCell ref="A3:A4"/>
    <mergeCell ref="K3:N3"/>
    <mergeCell ref="A36:B36"/>
    <mergeCell ref="B3:B4"/>
    <mergeCell ref="E3:F3"/>
    <mergeCell ref="C3:D3"/>
    <mergeCell ref="E38:F38"/>
    <mergeCell ref="B37:C37"/>
    <mergeCell ref="G3:H3"/>
    <mergeCell ref="I3:J3"/>
    <mergeCell ref="E37:F37"/>
  </mergeCells>
  <phoneticPr fontId="3" type="noConversion"/>
  <printOptions horizontalCentered="1"/>
  <pageMargins left="0.39370078740157483" right="0.39370078740157483" top="0.78740157480314965" bottom="0.39370078740157483" header="0.19685039370078741" footer="0.31496062992125984"/>
  <pageSetup paperSize="9" scale="63" orientation="landscape" verticalDpi="1200" r:id="rId1"/>
  <headerFooter alignWithMargins="0"/>
  <rowBreaks count="2" manualBreakCount="2">
    <brk id="20" max="13" man="1"/>
    <brk id="3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10</vt:i4>
      </vt:variant>
    </vt:vector>
  </HeadingPairs>
  <TitlesOfParts>
    <vt:vector size="15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'Звіт про виконання показ фінпла'!Заголовки_для_друку</vt:lpstr>
      <vt:lpstr>'Розшифровка 1 до Формування'!Заголовки_для_друку</vt:lpstr>
      <vt:lpstr>'Розшифровка 2 до формування'!Заголовки_для_друку</vt:lpstr>
      <vt:lpstr>'Розшифровка за джерелами'!Заголовки_для_друку</vt:lpstr>
      <vt:lpstr>'Розшифровка кап'!Заголовки_для_друку</vt:lpstr>
      <vt:lpstr>'Звіт про виконання показ фінпла'!Область_друку</vt:lpstr>
      <vt:lpstr>'Розшифровка 1 до Формування'!Область_друку</vt:lpstr>
      <vt:lpstr>'Розшифровка 2 до формування'!Область_друку</vt:lpstr>
      <vt:lpstr>'Розшифровка за джерелами'!Область_друку</vt:lpstr>
      <vt:lpstr>'Розшифровка кап'!Область_друку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2023-11-06T08:37:24Z</cp:lastPrinted>
  <dcterms:created xsi:type="dcterms:W3CDTF">2003-03-13T16:00:22Z</dcterms:created>
  <dcterms:modified xsi:type="dcterms:W3CDTF">2023-11-15T14:04:32Z</dcterms:modified>
</cp:coreProperties>
</file>